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MU\Desktop\"/>
    </mc:Choice>
  </mc:AlternateContent>
  <bookViews>
    <workbookView xWindow="-120" yWindow="-120" windowWidth="21840" windowHeight="13140" tabRatio="416" firstSheet="1" activeTab="1"/>
  </bookViews>
  <sheets>
    <sheet name=" Nov" sheetId="31" state="hidden" r:id="rId1"/>
    <sheet name="MAR 22" sheetId="76" r:id="rId2"/>
  </sheets>
  <definedNames>
    <definedName name="_xlnm.Print_Area" localSheetId="1">'MAR 22'!$A$1:$Q$151</definedName>
    <definedName name="_xlnm.Print_Titles" localSheetId="1">'MAR 22'!$6:$9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4" i="76" l="1"/>
  <c r="L33" i="76" s="1"/>
  <c r="O28" i="76"/>
  <c r="L65" i="76"/>
  <c r="L27" i="76"/>
  <c r="L89" i="76"/>
  <c r="L43" i="76"/>
  <c r="L47" i="76"/>
  <c r="L42" i="76"/>
  <c r="L71" i="76"/>
  <c r="L76" i="76"/>
  <c r="L70" i="76" s="1"/>
  <c r="L79" i="76"/>
  <c r="L83" i="76"/>
  <c r="L78" i="76" s="1"/>
  <c r="O94" i="76"/>
  <c r="O95" i="76"/>
  <c r="O96" i="76"/>
  <c r="O97" i="76"/>
  <c r="O98" i="76"/>
  <c r="Q98" i="76" s="1"/>
  <c r="O99" i="76"/>
  <c r="Q99" i="76" s="1"/>
  <c r="O100" i="76"/>
  <c r="O101" i="76"/>
  <c r="O103" i="76"/>
  <c r="O104" i="76"/>
  <c r="O105" i="76"/>
  <c r="O106" i="76"/>
  <c r="Q106" i="76" s="1"/>
  <c r="O107" i="76"/>
  <c r="O108" i="76"/>
  <c r="Q108" i="76" s="1"/>
  <c r="O123" i="76"/>
  <c r="K94" i="76"/>
  <c r="K95" i="76"/>
  <c r="K96" i="76"/>
  <c r="K97" i="76"/>
  <c r="K98" i="76"/>
  <c r="K99" i="76"/>
  <c r="K100" i="76"/>
  <c r="K103" i="76"/>
  <c r="K104" i="76"/>
  <c r="K105" i="76"/>
  <c r="K106" i="76"/>
  <c r="K107" i="76"/>
  <c r="K108" i="76"/>
  <c r="K123" i="76"/>
  <c r="P123" i="76" s="1"/>
  <c r="N93" i="76"/>
  <c r="L93" i="76"/>
  <c r="O145" i="76"/>
  <c r="O139" i="76"/>
  <c r="Q139" i="76" s="1"/>
  <c r="O130" i="76"/>
  <c r="O92" i="76"/>
  <c r="Q92" i="76" s="1"/>
  <c r="O86" i="76"/>
  <c r="O69" i="76"/>
  <c r="Q69" i="76" s="1"/>
  <c r="O64" i="76"/>
  <c r="O31" i="76"/>
  <c r="Q31" i="76" s="1"/>
  <c r="O26" i="76"/>
  <c r="K126" i="76"/>
  <c r="K127" i="76"/>
  <c r="I128" i="76"/>
  <c r="I124" i="76" s="1"/>
  <c r="J128" i="76"/>
  <c r="K128" i="76"/>
  <c r="O121" i="76"/>
  <c r="O122" i="76"/>
  <c r="Q122" i="76" s="1"/>
  <c r="H149" i="76"/>
  <c r="H145" i="76"/>
  <c r="H139" i="76"/>
  <c r="H130" i="76"/>
  <c r="H123" i="76"/>
  <c r="H117" i="76"/>
  <c r="H108" i="76"/>
  <c r="H92" i="76"/>
  <c r="P92" i="76" s="1"/>
  <c r="H86" i="76"/>
  <c r="H69" i="76"/>
  <c r="H64" i="76"/>
  <c r="H31" i="76"/>
  <c r="H26" i="76"/>
  <c r="O149" i="76"/>
  <c r="Q149" i="76" s="1"/>
  <c r="O41" i="76"/>
  <c r="K41" i="76"/>
  <c r="K149" i="76"/>
  <c r="K145" i="76"/>
  <c r="K139" i="76"/>
  <c r="K92" i="76"/>
  <c r="K86" i="76"/>
  <c r="K69" i="76"/>
  <c r="K64" i="76"/>
  <c r="K31" i="76"/>
  <c r="K26" i="76"/>
  <c r="H41" i="76"/>
  <c r="R54" i="76" s="1"/>
  <c r="N34" i="76"/>
  <c r="N39" i="76"/>
  <c r="M34" i="76"/>
  <c r="M39" i="76"/>
  <c r="O72" i="76"/>
  <c r="Q72" i="76" s="1"/>
  <c r="O73" i="76"/>
  <c r="O74" i="76"/>
  <c r="Q74" i="76" s="1"/>
  <c r="O75" i="76"/>
  <c r="N76" i="76"/>
  <c r="M76" i="76"/>
  <c r="O85" i="76"/>
  <c r="O84" i="76"/>
  <c r="O80" i="76"/>
  <c r="O81" i="76"/>
  <c r="O82" i="76"/>
  <c r="Q82" i="76" s="1"/>
  <c r="M43" i="76"/>
  <c r="M47" i="76"/>
  <c r="N43" i="76"/>
  <c r="O43" i="76" s="1"/>
  <c r="Q43" i="76" s="1"/>
  <c r="N47" i="76"/>
  <c r="K35" i="76"/>
  <c r="K36" i="76"/>
  <c r="K37" i="76"/>
  <c r="K38" i="76"/>
  <c r="I39" i="76"/>
  <c r="I33" i="76" s="1"/>
  <c r="J39" i="76"/>
  <c r="K39" i="76"/>
  <c r="K72" i="76"/>
  <c r="K73" i="76"/>
  <c r="K74" i="76"/>
  <c r="K75" i="76"/>
  <c r="J76" i="76"/>
  <c r="I76" i="76"/>
  <c r="K85" i="76"/>
  <c r="K84" i="76"/>
  <c r="P84" i="76" s="1"/>
  <c r="K80" i="76"/>
  <c r="K81" i="76"/>
  <c r="K82" i="76"/>
  <c r="I43" i="76"/>
  <c r="K43" i="76" s="1"/>
  <c r="I47" i="76"/>
  <c r="J43" i="76"/>
  <c r="J47" i="76"/>
  <c r="N71" i="76"/>
  <c r="N70" i="76" s="1"/>
  <c r="N83" i="76"/>
  <c r="N79" i="76"/>
  <c r="N78" i="76" s="1"/>
  <c r="H35" i="76"/>
  <c r="H36" i="76"/>
  <c r="H37" i="76"/>
  <c r="H38" i="76"/>
  <c r="P38" i="76" s="1"/>
  <c r="H40" i="76"/>
  <c r="H45" i="76"/>
  <c r="H46" i="76"/>
  <c r="H48" i="76"/>
  <c r="P48" i="76" s="1"/>
  <c r="H49" i="76"/>
  <c r="H50" i="76"/>
  <c r="H72" i="76"/>
  <c r="H73" i="76"/>
  <c r="H74" i="76"/>
  <c r="H75" i="76"/>
  <c r="H77" i="76"/>
  <c r="H76" i="76" s="1"/>
  <c r="H80" i="76"/>
  <c r="H81" i="76"/>
  <c r="H82" i="76"/>
  <c r="H84" i="76"/>
  <c r="H85" i="76"/>
  <c r="H83" i="76" s="1"/>
  <c r="J93" i="76"/>
  <c r="Q100" i="76"/>
  <c r="H100" i="76"/>
  <c r="P100" i="76" s="1"/>
  <c r="K62" i="76"/>
  <c r="P62" i="76" s="1"/>
  <c r="K58" i="76"/>
  <c r="K57" i="76"/>
  <c r="K110" i="76"/>
  <c r="K90" i="76"/>
  <c r="K89" i="76" s="1"/>
  <c r="K91" i="76"/>
  <c r="K113" i="76"/>
  <c r="P113" i="76" s="1"/>
  <c r="K119" i="76"/>
  <c r="K122" i="76"/>
  <c r="K121" i="76"/>
  <c r="Y117" i="76"/>
  <c r="H115" i="76"/>
  <c r="Y115" i="76"/>
  <c r="H116" i="76"/>
  <c r="Y116" i="76"/>
  <c r="H106" i="76"/>
  <c r="P106" i="76" s="1"/>
  <c r="C93" i="76"/>
  <c r="H102" i="76"/>
  <c r="Q80" i="76"/>
  <c r="Y80" i="76"/>
  <c r="P81" i="76"/>
  <c r="Q81" i="76"/>
  <c r="Y81" i="76"/>
  <c r="Y83" i="76" s="1"/>
  <c r="Y82" i="76"/>
  <c r="C43" i="76"/>
  <c r="D43" i="76"/>
  <c r="D42" i="76" s="1"/>
  <c r="D150" i="76" s="1"/>
  <c r="F43" i="76"/>
  <c r="F42" i="76" s="1"/>
  <c r="G43" i="76"/>
  <c r="K44" i="76"/>
  <c r="O44" i="76"/>
  <c r="P44" i="76"/>
  <c r="Q44" i="76"/>
  <c r="K45" i="76"/>
  <c r="O45" i="76"/>
  <c r="Q45" i="76" s="1"/>
  <c r="K46" i="76"/>
  <c r="O46" i="76"/>
  <c r="Q46" i="76" s="1"/>
  <c r="O143" i="76"/>
  <c r="O148" i="76"/>
  <c r="K148" i="76"/>
  <c r="P148" i="76" s="1"/>
  <c r="H148" i="76"/>
  <c r="O147" i="76"/>
  <c r="Q147" i="76" s="1"/>
  <c r="K147" i="76"/>
  <c r="H147" i="76"/>
  <c r="M146" i="76"/>
  <c r="O146" i="76" s="1"/>
  <c r="L146" i="76"/>
  <c r="L142" i="76" s="1"/>
  <c r="L141" i="76" s="1"/>
  <c r="K146" i="76"/>
  <c r="J146" i="76"/>
  <c r="J142" i="76" s="1"/>
  <c r="J141" i="76" s="1"/>
  <c r="J140" i="76" s="1"/>
  <c r="I146" i="76"/>
  <c r="G146" i="76"/>
  <c r="H146" i="76" s="1"/>
  <c r="P146" i="76" s="1"/>
  <c r="Q145" i="76"/>
  <c r="O144" i="76"/>
  <c r="Q144" i="76" s="1"/>
  <c r="K144" i="76"/>
  <c r="H144" i="76"/>
  <c r="Q143" i="76"/>
  <c r="K143" i="76"/>
  <c r="H143" i="76"/>
  <c r="P143" i="76" s="1"/>
  <c r="N142" i="76"/>
  <c r="N141" i="76" s="1"/>
  <c r="N140" i="76" s="1"/>
  <c r="M142" i="76"/>
  <c r="M141" i="76" s="1"/>
  <c r="M140" i="76" s="1"/>
  <c r="O140" i="76" s="1"/>
  <c r="I142" i="76"/>
  <c r="F142" i="76"/>
  <c r="F141" i="76" s="1"/>
  <c r="F140" i="76" s="1"/>
  <c r="C142" i="76"/>
  <c r="L140" i="76"/>
  <c r="O138" i="76"/>
  <c r="Q138" i="76" s="1"/>
  <c r="K138" i="76"/>
  <c r="P138" i="76" s="1"/>
  <c r="H138" i="76"/>
  <c r="O137" i="76"/>
  <c r="Q137" i="76" s="1"/>
  <c r="K137" i="76"/>
  <c r="P137" i="76" s="1"/>
  <c r="H137" i="76"/>
  <c r="O136" i="76"/>
  <c r="Q136" i="76" s="1"/>
  <c r="K136" i="76"/>
  <c r="H136" i="76"/>
  <c r="Y135" i="76"/>
  <c r="O135" i="76"/>
  <c r="K135" i="76"/>
  <c r="H135" i="76"/>
  <c r="O134" i="76"/>
  <c r="K134" i="76"/>
  <c r="H134" i="76"/>
  <c r="H133" i="76" s="1"/>
  <c r="H132" i="76" s="1"/>
  <c r="N133" i="76"/>
  <c r="N132" i="76" s="1"/>
  <c r="N131" i="76" s="1"/>
  <c r="M133" i="76"/>
  <c r="M132" i="76" s="1"/>
  <c r="M131" i="76" s="1"/>
  <c r="L133" i="76"/>
  <c r="J133" i="76"/>
  <c r="J132" i="76" s="1"/>
  <c r="J131" i="76" s="1"/>
  <c r="I133" i="76"/>
  <c r="I132" i="76" s="1"/>
  <c r="I131" i="76" s="1"/>
  <c r="G133" i="76"/>
  <c r="G132" i="76"/>
  <c r="G131" i="76" s="1"/>
  <c r="C133" i="76"/>
  <c r="C132" i="76" s="1"/>
  <c r="C131" i="76" s="1"/>
  <c r="Y132" i="76"/>
  <c r="Y130" i="76"/>
  <c r="Q130" i="76"/>
  <c r="K130" i="76"/>
  <c r="O129" i="76"/>
  <c r="Q129" i="76" s="1"/>
  <c r="K129" i="76"/>
  <c r="H129" i="76"/>
  <c r="N128" i="76"/>
  <c r="M128" i="76"/>
  <c r="L128" i="76"/>
  <c r="C128" i="76"/>
  <c r="H128" i="76" s="1"/>
  <c r="O127" i="76"/>
  <c r="H127" i="76"/>
  <c r="O126" i="76"/>
  <c r="O125" i="76" s="1"/>
  <c r="H126" i="76"/>
  <c r="X125" i="76"/>
  <c r="W125" i="76"/>
  <c r="V125" i="76"/>
  <c r="N125" i="76"/>
  <c r="M125" i="76"/>
  <c r="L125" i="76"/>
  <c r="J125" i="76"/>
  <c r="J124" i="76" s="1"/>
  <c r="I125" i="76"/>
  <c r="G125" i="76"/>
  <c r="G124" i="76" s="1"/>
  <c r="C125" i="76"/>
  <c r="Y124" i="76"/>
  <c r="C124" i="76"/>
  <c r="Y123" i="76"/>
  <c r="Y122" i="76"/>
  <c r="H122" i="76"/>
  <c r="P122" i="76" s="1"/>
  <c r="X121" i="76"/>
  <c r="W121" i="76"/>
  <c r="Y121" i="76" s="1"/>
  <c r="V121" i="76"/>
  <c r="H121" i="76"/>
  <c r="P121" i="76" s="1"/>
  <c r="Y120" i="76"/>
  <c r="N120" i="76"/>
  <c r="N118" i="76" s="1"/>
  <c r="M120" i="76"/>
  <c r="M118" i="76" s="1"/>
  <c r="L120" i="76"/>
  <c r="J120" i="76"/>
  <c r="J118" i="76" s="1"/>
  <c r="I120" i="76"/>
  <c r="I118" i="76" s="1"/>
  <c r="G120" i="76"/>
  <c r="G118" i="76" s="1"/>
  <c r="C120" i="76"/>
  <c r="C118" i="76" s="1"/>
  <c r="Y119" i="76"/>
  <c r="O119" i="76"/>
  <c r="O118" i="76" s="1"/>
  <c r="H119" i="76"/>
  <c r="Y118" i="76"/>
  <c r="X114" i="76"/>
  <c r="W114" i="76"/>
  <c r="Y114" i="76" s="1"/>
  <c r="V114" i="76"/>
  <c r="N112" i="76"/>
  <c r="N111" i="76" s="1"/>
  <c r="M112" i="76"/>
  <c r="L112" i="76"/>
  <c r="J112" i="76"/>
  <c r="I112" i="76"/>
  <c r="G114" i="76"/>
  <c r="G112" i="76"/>
  <c r="C114" i="76"/>
  <c r="C112" i="76"/>
  <c r="Y113" i="76"/>
  <c r="O113" i="76"/>
  <c r="Q113" i="76" s="1"/>
  <c r="H113" i="76"/>
  <c r="Y112" i="76"/>
  <c r="X110" i="76"/>
  <c r="W110" i="76"/>
  <c r="V110" i="76"/>
  <c r="O110" i="76"/>
  <c r="O109" i="76" s="1"/>
  <c r="H110" i="76"/>
  <c r="Y109" i="76"/>
  <c r="N109" i="76"/>
  <c r="M109" i="76"/>
  <c r="L109" i="76"/>
  <c r="J109" i="76"/>
  <c r="I109" i="76"/>
  <c r="H109" i="76"/>
  <c r="G109" i="76"/>
  <c r="C109" i="76"/>
  <c r="Y108" i="76"/>
  <c r="Q107" i="76"/>
  <c r="H107" i="76"/>
  <c r="Y106" i="76"/>
  <c r="Y105" i="76"/>
  <c r="Q105" i="76"/>
  <c r="H105" i="76"/>
  <c r="Y104" i="76"/>
  <c r="Q104" i="76"/>
  <c r="H104" i="76"/>
  <c r="Y103" i="76"/>
  <c r="H103" i="76"/>
  <c r="Y101" i="76"/>
  <c r="H101" i="76"/>
  <c r="P101" i="76" s="1"/>
  <c r="Y99" i="76"/>
  <c r="H99" i="76"/>
  <c r="Y98" i="76"/>
  <c r="H98" i="76"/>
  <c r="P98" i="76" s="1"/>
  <c r="Y97" i="76"/>
  <c r="H97" i="76"/>
  <c r="H96" i="76"/>
  <c r="P96" i="76" s="1"/>
  <c r="S95" i="76"/>
  <c r="H95" i="76"/>
  <c r="H94" i="76"/>
  <c r="Y93" i="76"/>
  <c r="M93" i="76"/>
  <c r="I93" i="76"/>
  <c r="G93" i="76"/>
  <c r="Y92" i="76"/>
  <c r="Y91" i="76"/>
  <c r="O91" i="76"/>
  <c r="Q91" i="76" s="1"/>
  <c r="H91" i="76"/>
  <c r="O90" i="76"/>
  <c r="H90" i="76"/>
  <c r="H89" i="76" s="1"/>
  <c r="H88" i="76" s="1"/>
  <c r="N89" i="76"/>
  <c r="M89" i="76"/>
  <c r="M88" i="76" s="1"/>
  <c r="M87" i="76" s="1"/>
  <c r="J89" i="76"/>
  <c r="I89" i="76"/>
  <c r="G89" i="76"/>
  <c r="C89" i="76"/>
  <c r="C88" i="76" s="1"/>
  <c r="Y88" i="76"/>
  <c r="Y87" i="76"/>
  <c r="Y86" i="76"/>
  <c r="Q86" i="76"/>
  <c r="Y85" i="76"/>
  <c r="Q85" i="76"/>
  <c r="X83" i="76"/>
  <c r="W83" i="76"/>
  <c r="W126" i="76" s="1"/>
  <c r="V83" i="76"/>
  <c r="M83" i="76"/>
  <c r="J83" i="76"/>
  <c r="I83" i="76"/>
  <c r="G83" i="76"/>
  <c r="C83" i="76"/>
  <c r="M79" i="76"/>
  <c r="J79" i="76"/>
  <c r="J78" i="76" s="1"/>
  <c r="I79" i="76"/>
  <c r="G79" i="76"/>
  <c r="C79" i="76"/>
  <c r="O77" i="76"/>
  <c r="Q77" i="76" s="1"/>
  <c r="K77" i="76"/>
  <c r="X76" i="76"/>
  <c r="W76" i="76"/>
  <c r="V76" i="76"/>
  <c r="V126" i="76" s="1"/>
  <c r="G76" i="76"/>
  <c r="C76" i="76"/>
  <c r="C70" i="76" s="1"/>
  <c r="Y75" i="76"/>
  <c r="Q75" i="76"/>
  <c r="Y74" i="76"/>
  <c r="Y73" i="76"/>
  <c r="Y72" i="76"/>
  <c r="Y71" i="76"/>
  <c r="M71" i="76"/>
  <c r="M70" i="76" s="1"/>
  <c r="J71" i="76"/>
  <c r="J70" i="76" s="1"/>
  <c r="I71" i="76"/>
  <c r="G71" i="76"/>
  <c r="G70" i="76" s="1"/>
  <c r="C71" i="76"/>
  <c r="Y70" i="76"/>
  <c r="O68" i="76"/>
  <c r="Q68" i="76" s="1"/>
  <c r="K68" i="76"/>
  <c r="H68" i="76"/>
  <c r="O67" i="76"/>
  <c r="Q67" i="76" s="1"/>
  <c r="K67" i="76"/>
  <c r="H67" i="76"/>
  <c r="O66" i="76"/>
  <c r="Q66" i="76" s="1"/>
  <c r="K66" i="76"/>
  <c r="H66" i="76"/>
  <c r="N65" i="76"/>
  <c r="M65" i="76"/>
  <c r="J65" i="76"/>
  <c r="I65" i="76"/>
  <c r="C65" i="76"/>
  <c r="Q64" i="76"/>
  <c r="O63" i="76"/>
  <c r="Q63" i="76" s="1"/>
  <c r="K63" i="76"/>
  <c r="H63" i="76"/>
  <c r="O62" i="76"/>
  <c r="Q62" i="76" s="1"/>
  <c r="H62" i="76"/>
  <c r="O61" i="76"/>
  <c r="Q61" i="76" s="1"/>
  <c r="K61" i="76"/>
  <c r="H61" i="76"/>
  <c r="O60" i="76"/>
  <c r="Q60" i="76" s="1"/>
  <c r="K60" i="76"/>
  <c r="P60" i="76" s="1"/>
  <c r="H60" i="76"/>
  <c r="O59" i="76"/>
  <c r="Q59" i="76" s="1"/>
  <c r="K59" i="76"/>
  <c r="H59" i="76"/>
  <c r="O58" i="76"/>
  <c r="Q58" i="76" s="1"/>
  <c r="H58" i="76"/>
  <c r="O57" i="76"/>
  <c r="Q57" i="76" s="1"/>
  <c r="H57" i="76"/>
  <c r="P57" i="76" s="1"/>
  <c r="O56" i="76"/>
  <c r="Q56" i="76" s="1"/>
  <c r="K56" i="76"/>
  <c r="H56" i="76"/>
  <c r="O55" i="76"/>
  <c r="Q55" i="76" s="1"/>
  <c r="K55" i="76"/>
  <c r="H55" i="76"/>
  <c r="H54" i="76" s="1"/>
  <c r="N54" i="76"/>
  <c r="N52" i="76" s="1"/>
  <c r="M54" i="76"/>
  <c r="M52" i="76" s="1"/>
  <c r="L54" i="76"/>
  <c r="J54" i="76"/>
  <c r="J52" i="76" s="1"/>
  <c r="I54" i="76"/>
  <c r="G54" i="76"/>
  <c r="G52" i="76" s="1"/>
  <c r="C54" i="76"/>
  <c r="C52" i="76" s="1"/>
  <c r="O53" i="76"/>
  <c r="Q53" i="76" s="1"/>
  <c r="K53" i="76"/>
  <c r="H53" i="76"/>
  <c r="P53" i="76" s="1"/>
  <c r="I52" i="76"/>
  <c r="Q50" i="76"/>
  <c r="O49" i="76"/>
  <c r="Q49" i="76" s="1"/>
  <c r="K49" i="76"/>
  <c r="O48" i="76"/>
  <c r="Q48" i="76" s="1"/>
  <c r="K48" i="76"/>
  <c r="G47" i="76"/>
  <c r="C47" i="76"/>
  <c r="E42" i="76"/>
  <c r="E150" i="76" s="1"/>
  <c r="Q41" i="76"/>
  <c r="O40" i="76"/>
  <c r="Q40" i="76" s="1"/>
  <c r="K40" i="76"/>
  <c r="G39" i="76"/>
  <c r="C39" i="76"/>
  <c r="O38" i="76"/>
  <c r="Q38" i="76" s="1"/>
  <c r="O37" i="76"/>
  <c r="Q37" i="76" s="1"/>
  <c r="O36" i="76"/>
  <c r="Q36" i="76" s="1"/>
  <c r="O35" i="76"/>
  <c r="J34" i="76"/>
  <c r="J33" i="76" s="1"/>
  <c r="I34" i="76"/>
  <c r="G34" i="76"/>
  <c r="C34" i="76"/>
  <c r="C33" i="76" s="1"/>
  <c r="O32" i="76"/>
  <c r="Q32" i="76" s="1"/>
  <c r="K32" i="76"/>
  <c r="H32" i="76"/>
  <c r="O30" i="76"/>
  <c r="Q30" i="76" s="1"/>
  <c r="K30" i="76"/>
  <c r="H30" i="76"/>
  <c r="P30" i="76" s="1"/>
  <c r="O29" i="76"/>
  <c r="Q29" i="76" s="1"/>
  <c r="K29" i="76"/>
  <c r="P29" i="76" s="1"/>
  <c r="H29" i="76"/>
  <c r="K28" i="76"/>
  <c r="H28" i="76"/>
  <c r="N27" i="76"/>
  <c r="M27" i="76"/>
  <c r="J27" i="76"/>
  <c r="I27" i="76"/>
  <c r="G27" i="76"/>
  <c r="C27" i="76"/>
  <c r="Q26" i="76"/>
  <c r="O25" i="76"/>
  <c r="Q25" i="76"/>
  <c r="K25" i="76"/>
  <c r="H25" i="76"/>
  <c r="P25" i="76" s="1"/>
  <c r="O24" i="76"/>
  <c r="Q24" i="76"/>
  <c r="K24" i="76"/>
  <c r="H24" i="76"/>
  <c r="P24" i="76" s="1"/>
  <c r="O23" i="76"/>
  <c r="Q23" i="76"/>
  <c r="K23" i="76"/>
  <c r="H23" i="76"/>
  <c r="P23" i="76" s="1"/>
  <c r="O22" i="76"/>
  <c r="Q22" i="76"/>
  <c r="K22" i="76"/>
  <c r="H22" i="76"/>
  <c r="P22" i="76" s="1"/>
  <c r="O21" i="76"/>
  <c r="Q21" i="76"/>
  <c r="K21" i="76"/>
  <c r="H21" i="76"/>
  <c r="O20" i="76"/>
  <c r="Q20" i="76"/>
  <c r="K20" i="76"/>
  <c r="H20" i="76"/>
  <c r="P20" i="76" s="1"/>
  <c r="O19" i="76"/>
  <c r="Q19" i="76"/>
  <c r="K19" i="76"/>
  <c r="H19" i="76"/>
  <c r="P19" i="76" s="1"/>
  <c r="O18" i="76"/>
  <c r="Q18" i="76"/>
  <c r="K18" i="76"/>
  <c r="H18" i="76"/>
  <c r="O17" i="76"/>
  <c r="K17" i="76"/>
  <c r="P17" i="76" s="1"/>
  <c r="H17" i="76"/>
  <c r="N16" i="76"/>
  <c r="N14" i="76" s="1"/>
  <c r="M16" i="76"/>
  <c r="M14" i="76"/>
  <c r="L16" i="76"/>
  <c r="J16" i="76"/>
  <c r="I16" i="76"/>
  <c r="I14" i="76" s="1"/>
  <c r="G16" i="76"/>
  <c r="G14" i="76" s="1"/>
  <c r="C16" i="76"/>
  <c r="C14" i="76" s="1"/>
  <c r="O15" i="76"/>
  <c r="K15" i="76"/>
  <c r="H15" i="76"/>
  <c r="G10" i="76"/>
  <c r="H93" i="76"/>
  <c r="M111" i="76"/>
  <c r="G33" i="76"/>
  <c r="M124" i="76"/>
  <c r="P139" i="76"/>
  <c r="P31" i="76"/>
  <c r="P104" i="76"/>
  <c r="P147" i="76"/>
  <c r="P68" i="76"/>
  <c r="P74" i="76"/>
  <c r="P86" i="76"/>
  <c r="P130" i="76"/>
  <c r="Q148" i="76"/>
  <c r="Y76" i="76"/>
  <c r="N124" i="76"/>
  <c r="P21" i="76"/>
  <c r="P26" i="76"/>
  <c r="P36" i="76"/>
  <c r="P58" i="76"/>
  <c r="P63" i="76"/>
  <c r="P64" i="76"/>
  <c r="P73" i="76"/>
  <c r="P77" i="76"/>
  <c r="P90" i="76"/>
  <c r="P97" i="76"/>
  <c r="P105" i="76"/>
  <c r="P108" i="76"/>
  <c r="Y110" i="76"/>
  <c r="J88" i="76"/>
  <c r="H27" i="76"/>
  <c r="Q119" i="76"/>
  <c r="Q101" i="76"/>
  <c r="Q94" i="76"/>
  <c r="O16" i="76"/>
  <c r="Q16" i="76" s="1"/>
  <c r="Q28" i="76"/>
  <c r="P41" i="76"/>
  <c r="O47" i="76"/>
  <c r="Q47" i="76" s="1"/>
  <c r="P72" i="76"/>
  <c r="L88" i="76"/>
  <c r="P110" i="76"/>
  <c r="Q123" i="76"/>
  <c r="P127" i="76"/>
  <c r="H125" i="76"/>
  <c r="H124" i="76" s="1"/>
  <c r="Q127" i="76"/>
  <c r="P134" i="76"/>
  <c r="O133" i="76"/>
  <c r="O132" i="76" s="1"/>
  <c r="Q134" i="76"/>
  <c r="Q17" i="76"/>
  <c r="L14" i="76"/>
  <c r="L13" i="76" s="1"/>
  <c r="Q15" i="76"/>
  <c r="L52" i="76"/>
  <c r="N51" i="76"/>
  <c r="H65" i="76"/>
  <c r="P67" i="76"/>
  <c r="Q90" i="76"/>
  <c r="P94" i="76"/>
  <c r="Q97" i="76"/>
  <c r="Q103" i="76"/>
  <c r="H120" i="76"/>
  <c r="H118" i="76" s="1"/>
  <c r="O141" i="76"/>
  <c r="Q96" i="76"/>
  <c r="P119" i="76"/>
  <c r="L118" i="76"/>
  <c r="O120" i="76"/>
  <c r="P126" i="76"/>
  <c r="O128" i="76"/>
  <c r="O124" i="76" s="1"/>
  <c r="L132" i="76"/>
  <c r="P144" i="76"/>
  <c r="Q121" i="76"/>
  <c r="Q126" i="76"/>
  <c r="K133" i="76"/>
  <c r="K132" i="76" s="1"/>
  <c r="K131" i="76" s="1"/>
  <c r="P135" i="76"/>
  <c r="P149" i="76"/>
  <c r="Q135" i="76"/>
  <c r="P128" i="76"/>
  <c r="Q140" i="76"/>
  <c r="O112" i="76"/>
  <c r="Q120" i="76"/>
  <c r="L131" i="76"/>
  <c r="L176" i="31"/>
  <c r="K198" i="31"/>
  <c r="K191" i="31"/>
  <c r="K181" i="31"/>
  <c r="K175" i="31"/>
  <c r="L166" i="31"/>
  <c r="K170" i="31"/>
  <c r="J167" i="31"/>
  <c r="L159" i="31"/>
  <c r="M152" i="31"/>
  <c r="C151" i="31"/>
  <c r="C147" i="31"/>
  <c r="C146" i="31"/>
  <c r="N141" i="31"/>
  <c r="K141" i="31"/>
  <c r="H141" i="31"/>
  <c r="N140" i="31"/>
  <c r="K140" i="31"/>
  <c r="H140" i="31"/>
  <c r="M139" i="31"/>
  <c r="M138" i="31"/>
  <c r="L139" i="31"/>
  <c r="L138" i="31"/>
  <c r="J139" i="31"/>
  <c r="J138" i="31"/>
  <c r="I139" i="31"/>
  <c r="N137" i="31"/>
  <c r="K137" i="31"/>
  <c r="H137" i="31"/>
  <c r="O137" i="31"/>
  <c r="N136" i="31"/>
  <c r="K136" i="31"/>
  <c r="H136" i="31"/>
  <c r="O136" i="31"/>
  <c r="M135" i="31"/>
  <c r="M134" i="31"/>
  <c r="M133" i="31"/>
  <c r="M151" i="31"/>
  <c r="L135" i="31"/>
  <c r="L134" i="31"/>
  <c r="J135" i="31"/>
  <c r="J134" i="31"/>
  <c r="I135" i="31"/>
  <c r="K135" i="31"/>
  <c r="C135" i="31"/>
  <c r="C134" i="31"/>
  <c r="C133" i="31"/>
  <c r="I134" i="31"/>
  <c r="N132" i="31"/>
  <c r="K132" i="31"/>
  <c r="H132" i="31"/>
  <c r="N131" i="31"/>
  <c r="K131" i="31"/>
  <c r="H131" i="31"/>
  <c r="O131" i="31"/>
  <c r="N130" i="31"/>
  <c r="K130" i="31"/>
  <c r="H130" i="31"/>
  <c r="O130" i="31"/>
  <c r="N129" i="31"/>
  <c r="K129" i="31"/>
  <c r="P129" i="31"/>
  <c r="H129" i="31"/>
  <c r="O129" i="31"/>
  <c r="N128" i="31"/>
  <c r="K128" i="31"/>
  <c r="H128" i="31"/>
  <c r="O128" i="31"/>
  <c r="M127" i="31"/>
  <c r="L127" i="31"/>
  <c r="L126" i="31"/>
  <c r="L125" i="31"/>
  <c r="J127" i="31"/>
  <c r="I127" i="31"/>
  <c r="I126" i="31"/>
  <c r="I125" i="31"/>
  <c r="C127" i="31"/>
  <c r="C126" i="31"/>
  <c r="C125" i="31"/>
  <c r="M126" i="31"/>
  <c r="M125" i="31"/>
  <c r="M150" i="31"/>
  <c r="J126" i="31"/>
  <c r="C149" i="31"/>
  <c r="K124" i="31"/>
  <c r="H124" i="31"/>
  <c r="N123" i="31"/>
  <c r="K123" i="31"/>
  <c r="H123" i="31"/>
  <c r="O123" i="31"/>
  <c r="M122" i="31"/>
  <c r="L122" i="31"/>
  <c r="J122" i="31"/>
  <c r="I122" i="31"/>
  <c r="H122" i="31"/>
  <c r="C122" i="31"/>
  <c r="N121" i="31"/>
  <c r="K121" i="31"/>
  <c r="H121" i="31"/>
  <c r="N120" i="31"/>
  <c r="K120" i="31"/>
  <c r="H120" i="31"/>
  <c r="M119" i="31"/>
  <c r="L119" i="31"/>
  <c r="J119" i="31"/>
  <c r="J118" i="31"/>
  <c r="I119" i="31"/>
  <c r="H119" i="31"/>
  <c r="H118" i="31"/>
  <c r="C119" i="31"/>
  <c r="M118" i="31"/>
  <c r="M149" i="31"/>
  <c r="L118" i="31"/>
  <c r="I118" i="31"/>
  <c r="C118" i="31"/>
  <c r="N117" i="31"/>
  <c r="K117" i="31"/>
  <c r="H117" i="31"/>
  <c r="N116" i="31"/>
  <c r="K116" i="31"/>
  <c r="H116" i="31"/>
  <c r="N115" i="31"/>
  <c r="K115" i="31"/>
  <c r="H115" i="31"/>
  <c r="O115" i="31"/>
  <c r="M114" i="31"/>
  <c r="M112" i="31"/>
  <c r="L114" i="31"/>
  <c r="L112" i="31"/>
  <c r="J114" i="31"/>
  <c r="J112" i="31"/>
  <c r="I114" i="31"/>
  <c r="I112" i="31"/>
  <c r="C114" i="31"/>
  <c r="C112" i="31"/>
  <c r="N113" i="31"/>
  <c r="K113" i="31"/>
  <c r="H113" i="31"/>
  <c r="N111" i="31"/>
  <c r="K111" i="31"/>
  <c r="J152" i="31"/>
  <c r="H111" i="31"/>
  <c r="N110" i="31"/>
  <c r="K110" i="31"/>
  <c r="H110" i="31"/>
  <c r="O110" i="31"/>
  <c r="N109" i="31"/>
  <c r="K109" i="31"/>
  <c r="P109" i="31"/>
  <c r="H109" i="31"/>
  <c r="O109" i="31"/>
  <c r="M108" i="31"/>
  <c r="M106" i="31"/>
  <c r="L108" i="31"/>
  <c r="L106" i="31"/>
  <c r="J108" i="31"/>
  <c r="J106" i="31"/>
  <c r="I108" i="31"/>
  <c r="I106" i="31"/>
  <c r="C108" i="31"/>
  <c r="C106" i="31"/>
  <c r="N107" i="31"/>
  <c r="K107" i="31"/>
  <c r="H107" i="31"/>
  <c r="N104" i="31"/>
  <c r="K104" i="31"/>
  <c r="H104" i="31"/>
  <c r="M103" i="31"/>
  <c r="L103" i="31"/>
  <c r="J103" i="31"/>
  <c r="I103" i="31"/>
  <c r="C103" i="31"/>
  <c r="H103" i="31"/>
  <c r="N102" i="31"/>
  <c r="K102" i="31"/>
  <c r="H102" i="31"/>
  <c r="N101" i="31"/>
  <c r="K101" i="31"/>
  <c r="H101" i="31"/>
  <c r="N100" i="31"/>
  <c r="K100" i="31"/>
  <c r="H100" i="31"/>
  <c r="N99" i="31"/>
  <c r="K99" i="31"/>
  <c r="H99" i="31"/>
  <c r="N98" i="31"/>
  <c r="K98" i="31"/>
  <c r="H98" i="31"/>
  <c r="K97" i="31"/>
  <c r="P97" i="31"/>
  <c r="H97" i="31"/>
  <c r="O97" i="31"/>
  <c r="N96" i="31"/>
  <c r="K96" i="31"/>
  <c r="H96" i="31"/>
  <c r="N95" i="31"/>
  <c r="K95" i="31"/>
  <c r="H95" i="31"/>
  <c r="N94" i="31"/>
  <c r="K94" i="31"/>
  <c r="H94" i="31"/>
  <c r="N93" i="31"/>
  <c r="K93" i="31"/>
  <c r="H93" i="31"/>
  <c r="N92" i="31"/>
  <c r="K92" i="31"/>
  <c r="H92" i="31"/>
  <c r="N91" i="31"/>
  <c r="K91" i="31"/>
  <c r="H91" i="31"/>
  <c r="M90" i="31"/>
  <c r="L90" i="31"/>
  <c r="J90" i="31"/>
  <c r="I90" i="31"/>
  <c r="C90" i="31"/>
  <c r="C87" i="31"/>
  <c r="C86" i="31"/>
  <c r="N89" i="31"/>
  <c r="K89" i="31"/>
  <c r="H89" i="31"/>
  <c r="N88" i="31"/>
  <c r="K88" i="31"/>
  <c r="O88" i="31"/>
  <c r="M87" i="31"/>
  <c r="L87" i="31"/>
  <c r="J87" i="31"/>
  <c r="I87" i="31"/>
  <c r="I86" i="31"/>
  <c r="N84" i="31"/>
  <c r="K84" i="31"/>
  <c r="H84" i="31"/>
  <c r="N83" i="31"/>
  <c r="K83" i="31"/>
  <c r="H83" i="31"/>
  <c r="O83" i="31"/>
  <c r="N82" i="31"/>
  <c r="N81" i="31"/>
  <c r="K82" i="31"/>
  <c r="K81" i="31"/>
  <c r="P81" i="31"/>
  <c r="H82" i="31"/>
  <c r="M81" i="31"/>
  <c r="L81" i="31"/>
  <c r="J81" i="31"/>
  <c r="I81" i="31"/>
  <c r="C81" i="31"/>
  <c r="N80" i="31"/>
  <c r="K80" i="31"/>
  <c r="H80" i="31"/>
  <c r="N79" i="31"/>
  <c r="K79" i="31"/>
  <c r="H79" i="31"/>
  <c r="N78" i="31"/>
  <c r="K78" i="31"/>
  <c r="P78" i="31"/>
  <c r="H78" i="31"/>
  <c r="O78" i="31"/>
  <c r="M77" i="31"/>
  <c r="M76" i="31"/>
  <c r="L77" i="31"/>
  <c r="K77" i="31"/>
  <c r="J77" i="31"/>
  <c r="I77" i="31"/>
  <c r="C77" i="31"/>
  <c r="C76" i="31"/>
  <c r="I76" i="31"/>
  <c r="N75" i="31"/>
  <c r="K75" i="31"/>
  <c r="H75" i="31"/>
  <c r="N74" i="31"/>
  <c r="K74" i="31"/>
  <c r="H74" i="31"/>
  <c r="N73" i="31"/>
  <c r="K73" i="31"/>
  <c r="H73" i="31"/>
  <c r="N72" i="31"/>
  <c r="K72" i="31"/>
  <c r="H72" i="31"/>
  <c r="O72" i="31"/>
  <c r="N71" i="31"/>
  <c r="K71" i="31"/>
  <c r="H71" i="31"/>
  <c r="O71" i="31"/>
  <c r="M70" i="31"/>
  <c r="L70" i="31"/>
  <c r="J70" i="31"/>
  <c r="I70" i="31"/>
  <c r="H70" i="31"/>
  <c r="C70" i="31"/>
  <c r="N69" i="31"/>
  <c r="K69" i="31"/>
  <c r="P69" i="31"/>
  <c r="H69" i="31"/>
  <c r="O69" i="31"/>
  <c r="N68" i="31"/>
  <c r="K68" i="31"/>
  <c r="H68" i="31"/>
  <c r="N67" i="31"/>
  <c r="K67" i="31"/>
  <c r="P67" i="31"/>
  <c r="H67" i="31"/>
  <c r="N66" i="31"/>
  <c r="K66" i="31"/>
  <c r="H66" i="31"/>
  <c r="O66" i="31"/>
  <c r="N65" i="31"/>
  <c r="M65" i="31"/>
  <c r="L65" i="31"/>
  <c r="L64" i="31"/>
  <c r="J65" i="31"/>
  <c r="I65" i="31"/>
  <c r="I64" i="31"/>
  <c r="C65" i="31"/>
  <c r="M64" i="31"/>
  <c r="J64" i="31"/>
  <c r="C64" i="31"/>
  <c r="N63" i="31"/>
  <c r="K63" i="31"/>
  <c r="H63" i="31"/>
  <c r="N62" i="31"/>
  <c r="K62" i="31"/>
  <c r="H62" i="31"/>
  <c r="N61" i="31"/>
  <c r="K61" i="31"/>
  <c r="H61" i="31"/>
  <c r="N60" i="31"/>
  <c r="N59" i="31"/>
  <c r="K60" i="31"/>
  <c r="H60" i="31"/>
  <c r="H59" i="31"/>
  <c r="K59" i="31"/>
  <c r="O59" i="31"/>
  <c r="M59" i="31"/>
  <c r="L59" i="31"/>
  <c r="J59" i="31"/>
  <c r="I59" i="31"/>
  <c r="C59" i="31"/>
  <c r="N58" i="31"/>
  <c r="K58" i="31"/>
  <c r="H58" i="31"/>
  <c r="N57" i="31"/>
  <c r="K57" i="31"/>
  <c r="H57" i="31"/>
  <c r="N56" i="31"/>
  <c r="K56" i="31"/>
  <c r="H56" i="31"/>
  <c r="N55" i="31"/>
  <c r="K55" i="31"/>
  <c r="H55" i="31"/>
  <c r="N54" i="31"/>
  <c r="K54" i="31"/>
  <c r="H54" i="31"/>
  <c r="N53" i="31"/>
  <c r="K53" i="31"/>
  <c r="H53" i="31"/>
  <c r="N52" i="31"/>
  <c r="K52" i="31"/>
  <c r="H52" i="31"/>
  <c r="N51" i="31"/>
  <c r="K51" i="31"/>
  <c r="H51" i="31"/>
  <c r="N50" i="31"/>
  <c r="K50" i="31"/>
  <c r="H50" i="31"/>
  <c r="O50" i="31"/>
  <c r="K49" i="31"/>
  <c r="P49" i="31"/>
  <c r="H49" i="31"/>
  <c r="O49" i="31"/>
  <c r="M48" i="31"/>
  <c r="M46" i="31"/>
  <c r="L48" i="31"/>
  <c r="J48" i="31"/>
  <c r="I48" i="31"/>
  <c r="I46" i="31"/>
  <c r="I45" i="31"/>
  <c r="C48" i="31"/>
  <c r="C46" i="31"/>
  <c r="N47" i="31"/>
  <c r="K47" i="31"/>
  <c r="H47" i="31"/>
  <c r="L46" i="31"/>
  <c r="J46" i="31"/>
  <c r="N44" i="31"/>
  <c r="K44" i="31"/>
  <c r="H44" i="31"/>
  <c r="N43" i="31"/>
  <c r="K43" i="31"/>
  <c r="H43" i="31"/>
  <c r="M42" i="31"/>
  <c r="L42" i="31"/>
  <c r="N42" i="31"/>
  <c r="J42" i="31"/>
  <c r="J40" i="31"/>
  <c r="I42" i="31"/>
  <c r="K42" i="31"/>
  <c r="C42" i="31"/>
  <c r="H42" i="31"/>
  <c r="N41" i="31"/>
  <c r="K41" i="31"/>
  <c r="H41" i="31"/>
  <c r="O41" i="31"/>
  <c r="M40" i="31"/>
  <c r="I40" i="31"/>
  <c r="K40" i="31"/>
  <c r="C40" i="31"/>
  <c r="H40" i="31"/>
  <c r="N39" i="31"/>
  <c r="K39" i="31"/>
  <c r="H39" i="31"/>
  <c r="H38" i="31"/>
  <c r="M38" i="31"/>
  <c r="L38" i="31"/>
  <c r="J38" i="31"/>
  <c r="I38" i="31"/>
  <c r="K38" i="31"/>
  <c r="C38" i="31"/>
  <c r="N37" i="31"/>
  <c r="K37" i="31"/>
  <c r="H37" i="31"/>
  <c r="N36" i="31"/>
  <c r="K36" i="31"/>
  <c r="H36" i="31"/>
  <c r="N35" i="31"/>
  <c r="K35" i="31"/>
  <c r="H35" i="31"/>
  <c r="N34" i="31"/>
  <c r="N33" i="31"/>
  <c r="K34" i="31"/>
  <c r="H34" i="31"/>
  <c r="H33" i="31"/>
  <c r="M33" i="31"/>
  <c r="L33" i="31"/>
  <c r="L32" i="31"/>
  <c r="J33" i="31"/>
  <c r="I33" i="31"/>
  <c r="C33" i="31"/>
  <c r="C32" i="31"/>
  <c r="M32" i="31"/>
  <c r="J32" i="31"/>
  <c r="N31" i="31"/>
  <c r="K31" i="31"/>
  <c r="H31" i="31"/>
  <c r="N30" i="31"/>
  <c r="K30" i="31"/>
  <c r="H30" i="31"/>
  <c r="N29" i="31"/>
  <c r="K29" i="31"/>
  <c r="H29" i="31"/>
  <c r="N28" i="31"/>
  <c r="K28" i="31"/>
  <c r="H28" i="31"/>
  <c r="N27" i="31"/>
  <c r="K27" i="31"/>
  <c r="H27" i="31"/>
  <c r="O27" i="31"/>
  <c r="M26" i="31"/>
  <c r="L26" i="31"/>
  <c r="J26" i="31"/>
  <c r="I26" i="31"/>
  <c r="C26" i="31"/>
  <c r="N25" i="31"/>
  <c r="K25" i="31"/>
  <c r="H25" i="31"/>
  <c r="N24" i="31"/>
  <c r="K24" i="31"/>
  <c r="P24" i="31"/>
  <c r="H24" i="31"/>
  <c r="N23" i="31"/>
  <c r="K23" i="31"/>
  <c r="H23" i="31"/>
  <c r="O23" i="31"/>
  <c r="N22" i="31"/>
  <c r="K22" i="31"/>
  <c r="H22" i="31"/>
  <c r="O22" i="31"/>
  <c r="N21" i="31"/>
  <c r="K21" i="31"/>
  <c r="H21" i="31"/>
  <c r="N20" i="31"/>
  <c r="K20" i="31"/>
  <c r="H20" i="31"/>
  <c r="N19" i="31"/>
  <c r="K19" i="31"/>
  <c r="H19" i="31"/>
  <c r="N18" i="31"/>
  <c r="K18" i="31"/>
  <c r="H18" i="31"/>
  <c r="N17" i="31"/>
  <c r="K17" i="31"/>
  <c r="H17" i="31"/>
  <c r="M16" i="31"/>
  <c r="M14" i="31"/>
  <c r="L16" i="31"/>
  <c r="L14" i="31"/>
  <c r="J16" i="31"/>
  <c r="J14" i="31"/>
  <c r="J13" i="31"/>
  <c r="I16" i="31"/>
  <c r="H16" i="31"/>
  <c r="C16" i="31"/>
  <c r="N15" i="31"/>
  <c r="K15" i="31"/>
  <c r="P15" i="31"/>
  <c r="H15" i="31"/>
  <c r="I14" i="31"/>
  <c r="K14" i="31"/>
  <c r="C14" i="31"/>
  <c r="C13" i="31"/>
  <c r="G10" i="31"/>
  <c r="E10" i="31"/>
  <c r="D10" i="31"/>
  <c r="H65" i="31"/>
  <c r="H64" i="31"/>
  <c r="K16" i="31"/>
  <c r="O16" i="31"/>
  <c r="I32" i="31"/>
  <c r="O34" i="31"/>
  <c r="O35" i="31"/>
  <c r="O80" i="31"/>
  <c r="O107" i="31"/>
  <c r="O28" i="31"/>
  <c r="O29" i="31"/>
  <c r="O104" i="31"/>
  <c r="P104" i="31"/>
  <c r="N38" i="31"/>
  <c r="N16" i="31"/>
  <c r="O21" i="31"/>
  <c r="P35" i="31"/>
  <c r="O37" i="31"/>
  <c r="O79" i="31"/>
  <c r="K87" i="31"/>
  <c r="O113" i="31"/>
  <c r="P29" i="31"/>
  <c r="O31" i="31"/>
  <c r="P31" i="31"/>
  <c r="P41" i="31"/>
  <c r="O43" i="31"/>
  <c r="O44" i="31"/>
  <c r="P44" i="31"/>
  <c r="O47" i="31"/>
  <c r="P50" i="31"/>
  <c r="O51" i="31"/>
  <c r="O52" i="31"/>
  <c r="P52" i="31"/>
  <c r="O53" i="31"/>
  <c r="O54" i="31"/>
  <c r="P54" i="31"/>
  <c r="O55" i="31"/>
  <c r="O56" i="31"/>
  <c r="P56" i="31"/>
  <c r="O57" i="31"/>
  <c r="O60" i="31"/>
  <c r="O61" i="31"/>
  <c r="P61" i="31"/>
  <c r="O62" i="31"/>
  <c r="K70" i="31"/>
  <c r="N70" i="31"/>
  <c r="N64" i="31"/>
  <c r="K65" i="31"/>
  <c r="K64" i="31"/>
  <c r="P64" i="31"/>
  <c r="P80" i="31"/>
  <c r="J76" i="31"/>
  <c r="J45" i="31"/>
  <c r="L86" i="31"/>
  <c r="J133" i="31"/>
  <c r="C150" i="31"/>
  <c r="I13" i="31"/>
  <c r="P16" i="31"/>
  <c r="P17" i="31"/>
  <c r="O18" i="31"/>
  <c r="P18" i="31"/>
  <c r="O19" i="31"/>
  <c r="O20" i="31"/>
  <c r="P20" i="31"/>
  <c r="P21" i="31"/>
  <c r="O36" i="31"/>
  <c r="P37" i="31"/>
  <c r="O39" i="31"/>
  <c r="P72" i="31"/>
  <c r="O73" i="31"/>
  <c r="O74" i="31"/>
  <c r="P74" i="31"/>
  <c r="O75" i="31"/>
  <c r="L76" i="31"/>
  <c r="O82" i="31"/>
  <c r="P83" i="31"/>
  <c r="O89" i="31"/>
  <c r="P89" i="31"/>
  <c r="J86" i="31"/>
  <c r="O91" i="31"/>
  <c r="O92" i="31"/>
  <c r="P92" i="31"/>
  <c r="O93" i="31"/>
  <c r="O94" i="31"/>
  <c r="P94" i="31"/>
  <c r="O95" i="31"/>
  <c r="O96" i="31"/>
  <c r="P96" i="31"/>
  <c r="O98" i="31"/>
  <c r="O99" i="31"/>
  <c r="P99" i="31"/>
  <c r="O100" i="31"/>
  <c r="O101" i="31"/>
  <c r="P101" i="31"/>
  <c r="K108" i="31"/>
  <c r="K106" i="31"/>
  <c r="P117" i="31"/>
  <c r="N119" i="31"/>
  <c r="K122" i="31"/>
  <c r="N122" i="31"/>
  <c r="J125" i="31"/>
  <c r="C148" i="31"/>
  <c r="K139" i="31"/>
  <c r="O140" i="31"/>
  <c r="P140" i="31"/>
  <c r="O141" i="31"/>
  <c r="N118" i="31"/>
  <c r="N127" i="31"/>
  <c r="N126" i="31"/>
  <c r="N139" i="31"/>
  <c r="N138" i="31"/>
  <c r="P116" i="31"/>
  <c r="M86" i="31"/>
  <c r="N90" i="31"/>
  <c r="M147" i="31"/>
  <c r="N48" i="31"/>
  <c r="N46" i="31"/>
  <c r="K138" i="31"/>
  <c r="O17" i="31"/>
  <c r="H14" i="31"/>
  <c r="P19" i="31"/>
  <c r="P23" i="31"/>
  <c r="P25" i="31"/>
  <c r="H26" i="31"/>
  <c r="N26" i="31"/>
  <c r="P28" i="31"/>
  <c r="K33" i="31"/>
  <c r="P34" i="31"/>
  <c r="P36" i="31"/>
  <c r="P39" i="31"/>
  <c r="L40" i="31"/>
  <c r="N40" i="31"/>
  <c r="P43" i="31"/>
  <c r="P47" i="31"/>
  <c r="H48" i="31"/>
  <c r="P51" i="31"/>
  <c r="P53" i="31"/>
  <c r="P55" i="31"/>
  <c r="P57" i="31"/>
  <c r="P59" i="31"/>
  <c r="P60" i="31"/>
  <c r="P62" i="31"/>
  <c r="O65" i="31"/>
  <c r="P66" i="31"/>
  <c r="P68" i="31"/>
  <c r="P71" i="31"/>
  <c r="P73" i="31"/>
  <c r="P75" i="31"/>
  <c r="H77" i="31"/>
  <c r="N77" i="31"/>
  <c r="P79" i="31"/>
  <c r="P82" i="31"/>
  <c r="H87" i="31"/>
  <c r="N87" i="31"/>
  <c r="P87" i="31"/>
  <c r="P88" i="31"/>
  <c r="K90" i="31"/>
  <c r="P91" i="31"/>
  <c r="P93" i="31"/>
  <c r="P95" i="31"/>
  <c r="P98" i="31"/>
  <c r="P100" i="31"/>
  <c r="N103" i="31"/>
  <c r="P107" i="31"/>
  <c r="H108" i="31"/>
  <c r="N108" i="31"/>
  <c r="N106" i="31"/>
  <c r="P110" i="31"/>
  <c r="P113" i="31"/>
  <c r="H114" i="31"/>
  <c r="N114" i="31"/>
  <c r="N112" i="31"/>
  <c r="K119" i="31"/>
  <c r="P120" i="31"/>
  <c r="P123" i="31"/>
  <c r="K127" i="31"/>
  <c r="P128" i="31"/>
  <c r="P130" i="31"/>
  <c r="H135" i="31"/>
  <c r="N135" i="31"/>
  <c r="P137" i="31"/>
  <c r="I138" i="31"/>
  <c r="I133" i="31"/>
  <c r="H139" i="31"/>
  <c r="P141" i="31"/>
  <c r="P139" i="31"/>
  <c r="P70" i="31"/>
  <c r="O70" i="31"/>
  <c r="P122" i="31"/>
  <c r="O122" i="31"/>
  <c r="P138" i="31"/>
  <c r="O139" i="31"/>
  <c r="H138" i="31"/>
  <c r="H134" i="31"/>
  <c r="P119" i="31"/>
  <c r="K118" i="31"/>
  <c r="H112" i="31"/>
  <c r="P90" i="31"/>
  <c r="O77" i="31"/>
  <c r="P65" i="31"/>
  <c r="H46" i="31"/>
  <c r="P33" i="31"/>
  <c r="N86" i="31"/>
  <c r="P77" i="31"/>
  <c r="O119" i="31"/>
  <c r="P108" i="31"/>
  <c r="P127" i="31"/>
  <c r="K126" i="31"/>
  <c r="O108" i="31"/>
  <c r="H106" i="31"/>
  <c r="O87" i="31"/>
  <c r="K76" i="31"/>
  <c r="J149" i="31"/>
  <c r="P118" i="31"/>
  <c r="O138" i="31"/>
  <c r="H133" i="31"/>
  <c r="H105" i="31"/>
  <c r="K125" i="31"/>
  <c r="J150" i="31"/>
  <c r="N125" i="31"/>
  <c r="P125" i="31"/>
  <c r="P126" i="31"/>
  <c r="O135" i="31"/>
  <c r="K134" i="31"/>
  <c r="L133" i="31"/>
  <c r="N133" i="31"/>
  <c r="N134" i="31"/>
  <c r="P135" i="31"/>
  <c r="P22" i="31"/>
  <c r="O24" i="31"/>
  <c r="O25" i="31"/>
  <c r="P27" i="31"/>
  <c r="C45" i="31"/>
  <c r="K48" i="31"/>
  <c r="O67" i="31"/>
  <c r="O68" i="31"/>
  <c r="M45" i="31"/>
  <c r="H81" i="31"/>
  <c r="H90" i="31"/>
  <c r="K103" i="31"/>
  <c r="C105" i="31"/>
  <c r="L105" i="31"/>
  <c r="L85" i="31"/>
  <c r="P115" i="31"/>
  <c r="O124" i="31"/>
  <c r="H127" i="31"/>
  <c r="P131" i="31"/>
  <c r="N105" i="31"/>
  <c r="N85" i="31"/>
  <c r="N76" i="31"/>
  <c r="P76" i="31"/>
  <c r="C153" i="31"/>
  <c r="C12" i="31"/>
  <c r="C85" i="31"/>
  <c r="C11" i="31"/>
  <c r="C10" i="31"/>
  <c r="O15" i="31"/>
  <c r="P40" i="31"/>
  <c r="I12" i="31"/>
  <c r="L45" i="31"/>
  <c r="O103" i="31"/>
  <c r="I105" i="31"/>
  <c r="I85" i="31"/>
  <c r="J105" i="31"/>
  <c r="J85" i="31"/>
  <c r="M105" i="31"/>
  <c r="M85" i="31"/>
  <c r="M148" i="31"/>
  <c r="O118" i="31"/>
  <c r="P136" i="31"/>
  <c r="O64" i="31"/>
  <c r="N32" i="31"/>
  <c r="L13" i="31"/>
  <c r="H32" i="31"/>
  <c r="O33" i="31"/>
  <c r="K32" i="31"/>
  <c r="P32" i="31"/>
  <c r="P38" i="31"/>
  <c r="O38" i="31"/>
  <c r="P42" i="31"/>
  <c r="O42" i="31"/>
  <c r="I11" i="31"/>
  <c r="N45" i="31"/>
  <c r="P106" i="31"/>
  <c r="O106" i="31"/>
  <c r="O14" i="31"/>
  <c r="J12" i="31"/>
  <c r="J11" i="31"/>
  <c r="J10" i="31"/>
  <c r="K13" i="31"/>
  <c r="M13" i="31"/>
  <c r="N14" i="31"/>
  <c r="P14" i="31"/>
  <c r="O40" i="31"/>
  <c r="P48" i="31"/>
  <c r="O48" i="31"/>
  <c r="K46" i="31"/>
  <c r="O81" i="31"/>
  <c r="H76" i="31"/>
  <c r="O76" i="31"/>
  <c r="O90" i="31"/>
  <c r="H86" i="31"/>
  <c r="P103" i="31"/>
  <c r="K86" i="31"/>
  <c r="K26" i="31"/>
  <c r="K114" i="31"/>
  <c r="O120" i="31"/>
  <c r="H126" i="31"/>
  <c r="O127" i="31"/>
  <c r="K133" i="31"/>
  <c r="P134" i="31"/>
  <c r="O134" i="31"/>
  <c r="P26" i="31"/>
  <c r="J147" i="31"/>
  <c r="M146" i="31"/>
  <c r="M153" i="31"/>
  <c r="M12" i="31"/>
  <c r="M11" i="31"/>
  <c r="M10" i="31"/>
  <c r="K12" i="31"/>
  <c r="N13" i="31"/>
  <c r="L12" i="31"/>
  <c r="P114" i="31"/>
  <c r="K112" i="31"/>
  <c r="O114" i="31"/>
  <c r="P86" i="31"/>
  <c r="H85" i="31"/>
  <c r="O86" i="31"/>
  <c r="P46" i="31"/>
  <c r="K45" i="31"/>
  <c r="P45" i="31"/>
  <c r="O46" i="31"/>
  <c r="P13" i="31"/>
  <c r="P12" i="31"/>
  <c r="J146" i="31"/>
  <c r="O26" i="31"/>
  <c r="K11" i="31"/>
  <c r="I10" i="31"/>
  <c r="K10" i="31"/>
  <c r="H13" i="31"/>
  <c r="O32" i="31"/>
  <c r="H45" i="31"/>
  <c r="O45" i="31"/>
  <c r="P133" i="31"/>
  <c r="J151" i="31"/>
  <c r="O133" i="31"/>
  <c r="H125" i="31"/>
  <c r="O125" i="31"/>
  <c r="O126" i="31"/>
  <c r="H12" i="31"/>
  <c r="O13" i="31"/>
  <c r="P112" i="31"/>
  <c r="O112" i="31"/>
  <c r="K105" i="31"/>
  <c r="N12" i="31"/>
  <c r="L11" i="31"/>
  <c r="N11" i="31"/>
  <c r="L10" i="31"/>
  <c r="N10" i="31"/>
  <c r="P10" i="31"/>
  <c r="O105" i="31"/>
  <c r="P105" i="31"/>
  <c r="K85" i="31"/>
  <c r="O12" i="31"/>
  <c r="H11" i="31"/>
  <c r="O11" i="31"/>
  <c r="H10" i="31"/>
  <c r="O10" i="31"/>
  <c r="J148" i="31"/>
  <c r="J153" i="31"/>
  <c r="P85" i="31"/>
  <c r="P11" i="31"/>
  <c r="O85" i="31"/>
  <c r="Q118" i="76" l="1"/>
  <c r="J87" i="76"/>
  <c r="H16" i="76"/>
  <c r="H14" i="76" s="1"/>
  <c r="P18" i="76"/>
  <c r="P28" i="76"/>
  <c r="K27" i="76"/>
  <c r="P27" i="76" s="1"/>
  <c r="Q35" i="76"/>
  <c r="O34" i="76"/>
  <c r="Q34" i="76" s="1"/>
  <c r="H52" i="76"/>
  <c r="H79" i="76"/>
  <c r="P82" i="76"/>
  <c r="H71" i="76"/>
  <c r="P75" i="76"/>
  <c r="O71" i="76"/>
  <c r="Q71" i="76" s="1"/>
  <c r="Q73" i="76"/>
  <c r="P103" i="76"/>
  <c r="P99" i="76"/>
  <c r="Q133" i="76"/>
  <c r="Q110" i="76"/>
  <c r="K112" i="76"/>
  <c r="P55" i="76"/>
  <c r="L12" i="76"/>
  <c r="P15" i="76"/>
  <c r="O89" i="76"/>
  <c r="Q89" i="76" s="1"/>
  <c r="O54" i="76"/>
  <c r="O142" i="76"/>
  <c r="I70" i="76"/>
  <c r="I78" i="76"/>
  <c r="M78" i="76"/>
  <c r="H142" i="76"/>
  <c r="H141" i="76" s="1"/>
  <c r="C141" i="76"/>
  <c r="C140" i="76" s="1"/>
  <c r="H140" i="76" s="1"/>
  <c r="O79" i="76"/>
  <c r="L51" i="76"/>
  <c r="P32" i="76"/>
  <c r="G42" i="76"/>
  <c r="I51" i="76"/>
  <c r="P59" i="76"/>
  <c r="P61" i="76"/>
  <c r="J51" i="76"/>
  <c r="C78" i="76"/>
  <c r="C51" i="76" s="1"/>
  <c r="G78" i="76"/>
  <c r="G51" i="76" s="1"/>
  <c r="X126" i="76"/>
  <c r="P95" i="76"/>
  <c r="G88" i="76"/>
  <c r="K109" i="76"/>
  <c r="P109" i="76" s="1"/>
  <c r="Q109" i="76"/>
  <c r="N88" i="76"/>
  <c r="N87" i="76" s="1"/>
  <c r="J111" i="76"/>
  <c r="Y125" i="76"/>
  <c r="Q125" i="76"/>
  <c r="L124" i="76"/>
  <c r="Q124" i="76" s="1"/>
  <c r="P129" i="76"/>
  <c r="P136" i="76"/>
  <c r="P45" i="76"/>
  <c r="C42" i="76"/>
  <c r="C13" i="76" s="1"/>
  <c r="C12" i="76" s="1"/>
  <c r="H114" i="76"/>
  <c r="H112" i="76" s="1"/>
  <c r="K120" i="76"/>
  <c r="K118" i="76" s="1"/>
  <c r="P118" i="76" s="1"/>
  <c r="P91" i="76"/>
  <c r="P49" i="76"/>
  <c r="H43" i="76"/>
  <c r="H39" i="76"/>
  <c r="P39" i="76" s="1"/>
  <c r="P37" i="76"/>
  <c r="P35" i="76"/>
  <c r="J42" i="76"/>
  <c r="I42" i="76"/>
  <c r="I13" i="76" s="1"/>
  <c r="P85" i="76"/>
  <c r="M42" i="76"/>
  <c r="M13" i="76" s="1"/>
  <c r="O76" i="76"/>
  <c r="Q79" i="76"/>
  <c r="Q112" i="76"/>
  <c r="O111" i="76"/>
  <c r="O131" i="76"/>
  <c r="Q131" i="76" s="1"/>
  <c r="Q132" i="76"/>
  <c r="P132" i="76"/>
  <c r="H131" i="76"/>
  <c r="P131" i="76" s="1"/>
  <c r="Q54" i="76"/>
  <c r="O52" i="76"/>
  <c r="Q52" i="76" s="1"/>
  <c r="P133" i="76"/>
  <c r="L111" i="76"/>
  <c r="L87" i="76" s="1"/>
  <c r="L11" i="76" s="1"/>
  <c r="L10" i="76" s="1"/>
  <c r="Y126" i="76"/>
  <c r="P112" i="76"/>
  <c r="P120" i="76"/>
  <c r="J14" i="76"/>
  <c r="J13" i="76" s="1"/>
  <c r="K16" i="76"/>
  <c r="P16" i="76" s="1"/>
  <c r="P66" i="76"/>
  <c r="K65" i="76"/>
  <c r="P65" i="76" s="1"/>
  <c r="I141" i="76"/>
  <c r="I140" i="76" s="1"/>
  <c r="K140" i="76" s="1"/>
  <c r="K142" i="76"/>
  <c r="H70" i="76"/>
  <c r="K42" i="76"/>
  <c r="K79" i="76"/>
  <c r="P79" i="76" s="1"/>
  <c r="O78" i="76"/>
  <c r="O83" i="76"/>
  <c r="Q83" i="76" s="1"/>
  <c r="Q84" i="76"/>
  <c r="O93" i="76"/>
  <c r="Q78" i="76"/>
  <c r="H111" i="76"/>
  <c r="Q95" i="76"/>
  <c r="Q141" i="76"/>
  <c r="K47" i="76"/>
  <c r="O27" i="76"/>
  <c r="Q27" i="76" s="1"/>
  <c r="Q142" i="76"/>
  <c r="P40" i="76"/>
  <c r="O65" i="76"/>
  <c r="Q65" i="76" s="1"/>
  <c r="P140" i="76"/>
  <c r="M51" i="76"/>
  <c r="K54" i="76"/>
  <c r="P56" i="76"/>
  <c r="I88" i="76"/>
  <c r="G111" i="76"/>
  <c r="G87" i="76" s="1"/>
  <c r="P46" i="76"/>
  <c r="H78" i="76"/>
  <c r="H51" i="76" s="1"/>
  <c r="P80" i="76"/>
  <c r="K71" i="76"/>
  <c r="P71" i="76" s="1"/>
  <c r="N33" i="76"/>
  <c r="O39" i="76"/>
  <c r="Q39" i="76" s="1"/>
  <c r="P69" i="76"/>
  <c r="P145" i="76"/>
  <c r="K14" i="76"/>
  <c r="C111" i="76"/>
  <c r="C87" i="76" s="1"/>
  <c r="I111" i="76"/>
  <c r="I87" i="76" s="1"/>
  <c r="Q146" i="76"/>
  <c r="H47" i="76"/>
  <c r="H34" i="76"/>
  <c r="H33" i="76" s="1"/>
  <c r="P33" i="76" s="1"/>
  <c r="K83" i="76"/>
  <c r="P83" i="76" s="1"/>
  <c r="K76" i="76"/>
  <c r="K70" i="76" s="1"/>
  <c r="P70" i="76" s="1"/>
  <c r="K34" i="76"/>
  <c r="K33" i="76" s="1"/>
  <c r="N42" i="76"/>
  <c r="O42" i="76" s="1"/>
  <c r="Q42" i="76" s="1"/>
  <c r="M33" i="76"/>
  <c r="O33" i="76" s="1"/>
  <c r="Q33" i="76" s="1"/>
  <c r="K125" i="76"/>
  <c r="K124" i="76" s="1"/>
  <c r="P124" i="76" s="1"/>
  <c r="K93" i="76"/>
  <c r="P93" i="76" s="1"/>
  <c r="H87" i="76"/>
  <c r="I12" i="76"/>
  <c r="O14" i="76"/>
  <c r="Q14" i="76" s="1"/>
  <c r="Q128" i="76"/>
  <c r="P89" i="76"/>
  <c r="H42" i="76"/>
  <c r="P43" i="76"/>
  <c r="K78" i="76"/>
  <c r="O70" i="76"/>
  <c r="Q70" i="76" s="1"/>
  <c r="Q76" i="76"/>
  <c r="K111" i="76" l="1"/>
  <c r="P14" i="76"/>
  <c r="P125" i="76"/>
  <c r="Q111" i="76"/>
  <c r="P111" i="76"/>
  <c r="J12" i="76"/>
  <c r="J11" i="76" s="1"/>
  <c r="J10" i="76" s="1"/>
  <c r="K141" i="76"/>
  <c r="P141" i="76" s="1"/>
  <c r="P142" i="76"/>
  <c r="N13" i="76"/>
  <c r="N12" i="76" s="1"/>
  <c r="N11" i="76" s="1"/>
  <c r="N10" i="76" s="1"/>
  <c r="P76" i="76"/>
  <c r="P34" i="76"/>
  <c r="P47" i="76"/>
  <c r="C11" i="76"/>
  <c r="K52" i="76"/>
  <c r="P52" i="76" s="1"/>
  <c r="P54" i="76"/>
  <c r="Q93" i="76"/>
  <c r="O88" i="76"/>
  <c r="Q88" i="76" s="1"/>
  <c r="K88" i="76"/>
  <c r="P88" i="76" s="1"/>
  <c r="K13" i="76"/>
  <c r="M12" i="76"/>
  <c r="P78" i="76"/>
  <c r="P42" i="76"/>
  <c r="H13" i="76"/>
  <c r="K12" i="76"/>
  <c r="I11" i="76"/>
  <c r="O51" i="76"/>
  <c r="Q51" i="76" s="1"/>
  <c r="O13" i="76" l="1"/>
  <c r="Q13" i="76" s="1"/>
  <c r="O87" i="76"/>
  <c r="Q87" i="76" s="1"/>
  <c r="K51" i="76"/>
  <c r="P51" i="76" s="1"/>
  <c r="C10" i="76"/>
  <c r="H10" i="76" s="1"/>
  <c r="H11" i="76"/>
  <c r="K87" i="76"/>
  <c r="P87" i="76" s="1"/>
  <c r="K11" i="76"/>
  <c r="P11" i="76" s="1"/>
  <c r="I10" i="76"/>
  <c r="K10" i="76" s="1"/>
  <c r="P10" i="76" s="1"/>
  <c r="P13" i="76"/>
  <c r="H12" i="76"/>
  <c r="P12" i="76" s="1"/>
  <c r="M11" i="76"/>
  <c r="O12" i="76"/>
  <c r="Q12" i="76" s="1"/>
  <c r="M10" i="76" l="1"/>
  <c r="O10" i="76" s="1"/>
  <c r="Q10" i="76" s="1"/>
  <c r="O11" i="76"/>
  <c r="Q11" i="76" s="1"/>
</calcChain>
</file>

<file path=xl/sharedStrings.xml><?xml version="1.0" encoding="utf-8"?>
<sst xmlns="http://schemas.openxmlformats.org/spreadsheetml/2006/main" count="554" uniqueCount="334">
  <si>
    <t>CONTADURIA GENERAL DE LA NACIÓN</t>
  </si>
  <si>
    <t>ENTIDAD: E.S.E CAMU SANTA TERESITA</t>
  </si>
  <si>
    <t>SECCION PRINCIPAL PRESUPUESTO</t>
  </si>
  <si>
    <t xml:space="preserve"> </t>
  </si>
  <si>
    <t>SECCION PRESUPUESTO</t>
  </si>
  <si>
    <t>NIT: 812.001423-2</t>
  </si>
  <si>
    <t>DENOMINACION</t>
  </si>
  <si>
    <t>GIROS</t>
  </si>
  <si>
    <t xml:space="preserve">SALDO </t>
  </si>
  <si>
    <t>CODIGO</t>
  </si>
  <si>
    <t>NUMERAL RENTISTICO</t>
  </si>
  <si>
    <t>INICIAL</t>
  </si>
  <si>
    <t>MODIF.</t>
  </si>
  <si>
    <t>DEFINITIVO</t>
  </si>
  <si>
    <t>MESES</t>
  </si>
  <si>
    <t>DEL</t>
  </si>
  <si>
    <t>TOTAL</t>
  </si>
  <si>
    <t>POR</t>
  </si>
  <si>
    <t>(A)</t>
  </si>
  <si>
    <t>ANTERIOR</t>
  </si>
  <si>
    <t>MES</t>
  </si>
  <si>
    <t>EJECUTAR</t>
  </si>
  <si>
    <t>(B)</t>
  </si>
  <si>
    <t>(D)</t>
  </si>
  <si>
    <t>(H)</t>
  </si>
  <si>
    <t>(I)</t>
  </si>
  <si>
    <t>(K=I+J)</t>
  </si>
  <si>
    <t>A</t>
  </si>
  <si>
    <t>GASTOS DE FUNCIONAMIENTO</t>
  </si>
  <si>
    <t>A00101</t>
  </si>
  <si>
    <t>GASTOS DE PERSONAL</t>
  </si>
  <si>
    <t>A0010101</t>
  </si>
  <si>
    <t>GASTOS DE ADMINISTRACION</t>
  </si>
  <si>
    <t>A001010101</t>
  </si>
  <si>
    <t>SERVICIOS PERSONALES ASOCIADOS A LA NOMINA</t>
  </si>
  <si>
    <t>A001010101-01</t>
  </si>
  <si>
    <t>Sueldos de personal de nómina</t>
  </si>
  <si>
    <t>A001010104</t>
  </si>
  <si>
    <t>OTROS</t>
  </si>
  <si>
    <t>A001010104-01</t>
  </si>
  <si>
    <t>Prima de navidad</t>
  </si>
  <si>
    <t>A001010104-02</t>
  </si>
  <si>
    <t>Prima de antigüedad</t>
  </si>
  <si>
    <t>A001010104-03</t>
  </si>
  <si>
    <t>Prima de vacaciones</t>
  </si>
  <si>
    <t>A001010104-04</t>
  </si>
  <si>
    <t>Bonificacion esp. por Recreacion</t>
  </si>
  <si>
    <t>A001010104-05</t>
  </si>
  <si>
    <t>Prima de servicios</t>
  </si>
  <si>
    <t>A001010104-08</t>
  </si>
  <si>
    <t>Bonificacion por servicios (convencional)</t>
  </si>
  <si>
    <t>A001010104-09</t>
  </si>
  <si>
    <t>Auxilio de transporte</t>
  </si>
  <si>
    <t>A001010104-10</t>
  </si>
  <si>
    <t>Subsidio de alimentacion</t>
  </si>
  <si>
    <t>A001010104-12</t>
  </si>
  <si>
    <t>Indemnización por vacaciones</t>
  </si>
  <si>
    <t>A0010102</t>
  </si>
  <si>
    <t>SERVICIOS PERSONALES INDIRECTOS</t>
  </si>
  <si>
    <t>A001010200-01</t>
  </si>
  <si>
    <t>Remuneración servicios técnicos</t>
  </si>
  <si>
    <t>A001010200-02</t>
  </si>
  <si>
    <t>Personal supernumerario</t>
  </si>
  <si>
    <t>A001010200-03</t>
  </si>
  <si>
    <t>Honorarios de la junta directiva</t>
  </si>
  <si>
    <t>A001010200-04</t>
  </si>
  <si>
    <t>Otros Honorarios</t>
  </si>
  <si>
    <t>A0010103</t>
  </si>
  <si>
    <t>CONTRIBUCIONES INHERENTES A LA NOMINA SECTOR PRIVADO</t>
  </si>
  <si>
    <t>A001010301</t>
  </si>
  <si>
    <t>CONTRIBUCIONES SIN SITUACION DE FONDOS</t>
  </si>
  <si>
    <t>A001010301-01</t>
  </si>
  <si>
    <t>Aportes a EPS sin situacion de fondos</t>
  </si>
  <si>
    <t>A001010301-02</t>
  </si>
  <si>
    <t>Aportes fondos pensiones sin sit de fondos</t>
  </si>
  <si>
    <t>A001010301-03</t>
  </si>
  <si>
    <t>Aportes a fondo de cesantias sin sit de fondos</t>
  </si>
  <si>
    <t>A001010301-04</t>
  </si>
  <si>
    <t>Aporte patronal riesgos profesionales sin sit de fondos</t>
  </si>
  <si>
    <t>A001010302</t>
  </si>
  <si>
    <t>CONTRIBUCIONES - OTROS</t>
  </si>
  <si>
    <t>A001010302-05</t>
  </si>
  <si>
    <t>Aportes a caja compensación familiar</t>
  </si>
  <si>
    <t>A0010104</t>
  </si>
  <si>
    <t>CONTRIBUCIONES INHERENTES A LA NOMINA SECTOR PUBLICO</t>
  </si>
  <si>
    <t>A001010402</t>
  </si>
  <si>
    <t>A001010402-1</t>
  </si>
  <si>
    <t>SENA</t>
  </si>
  <si>
    <t>A001010402-2</t>
  </si>
  <si>
    <t>ICBF</t>
  </si>
  <si>
    <t>A001020</t>
  </si>
  <si>
    <t>GASTOS DE OPERACIÓN</t>
  </si>
  <si>
    <t>A0010201</t>
  </si>
  <si>
    <t>A001020101</t>
  </si>
  <si>
    <t>A001020104</t>
  </si>
  <si>
    <t>A001020104-01</t>
  </si>
  <si>
    <t>A001020104-02</t>
  </si>
  <si>
    <t>A001020104-03</t>
  </si>
  <si>
    <t>A001020104-04</t>
  </si>
  <si>
    <t>Bonificacion Especial de recreacion</t>
  </si>
  <si>
    <t>A001020104-05</t>
  </si>
  <si>
    <t>A001020104-08</t>
  </si>
  <si>
    <t>A001020104-09</t>
  </si>
  <si>
    <t>A001020104-10</t>
  </si>
  <si>
    <t>A0010202</t>
  </si>
  <si>
    <t>A001020200-01</t>
  </si>
  <si>
    <t>A001020200-02</t>
  </si>
  <si>
    <t>A001020200-03</t>
  </si>
  <si>
    <t>Honorarios</t>
  </si>
  <si>
    <t>A0010203</t>
  </si>
  <si>
    <t>A001020301</t>
  </si>
  <si>
    <t>A001020301-01</t>
  </si>
  <si>
    <t>A001020301-02</t>
  </si>
  <si>
    <t>A001020301-03</t>
  </si>
  <si>
    <t>A001020301-04</t>
  </si>
  <si>
    <t>A001020302</t>
  </si>
  <si>
    <t>A001020302-05</t>
  </si>
  <si>
    <t>A0010204</t>
  </si>
  <si>
    <t>A001020401</t>
  </si>
  <si>
    <t>A001020401-1</t>
  </si>
  <si>
    <t>Aportes a EPS sin situación de fondos</t>
  </si>
  <si>
    <t>A001020401-2</t>
  </si>
  <si>
    <t>A001020401-3</t>
  </si>
  <si>
    <t>Aportes a fondos de cesantias sin sit de fondos</t>
  </si>
  <si>
    <t>A001020402</t>
  </si>
  <si>
    <t>A001020402-1</t>
  </si>
  <si>
    <t>A001020402-2</t>
  </si>
  <si>
    <t>A002</t>
  </si>
  <si>
    <t>GASTOS GENERALES</t>
  </si>
  <si>
    <t>A00201</t>
  </si>
  <si>
    <t>A0020101</t>
  </si>
  <si>
    <t>ADQUISICION DE BIENES</t>
  </si>
  <si>
    <t>A0020101-01</t>
  </si>
  <si>
    <t>Compra de equipo</t>
  </si>
  <si>
    <t>A0020101-02</t>
  </si>
  <si>
    <t>Materiales de oficina y otros</t>
  </si>
  <si>
    <t>A0020102</t>
  </si>
  <si>
    <t>ADQUISICION DE SERVICIOS</t>
  </si>
  <si>
    <t>A0020102-01</t>
  </si>
  <si>
    <t>Seguros</t>
  </si>
  <si>
    <t>A0020102-02</t>
  </si>
  <si>
    <t>Impresos y publicaciones</t>
  </si>
  <si>
    <t>A0020102-03</t>
  </si>
  <si>
    <t>Servicios publicos</t>
  </si>
  <si>
    <t>A0020102-04</t>
  </si>
  <si>
    <t>Comunicación y transporte</t>
  </si>
  <si>
    <t>A0020102-05</t>
  </si>
  <si>
    <t>Viaticos y gasto de viaje ocacionales</t>
  </si>
  <si>
    <t>A0020102-06</t>
  </si>
  <si>
    <t>Arrendamientos</t>
  </si>
  <si>
    <t>A0020102-08</t>
  </si>
  <si>
    <t>Bienestar social</t>
  </si>
  <si>
    <t>A0020102-09</t>
  </si>
  <si>
    <t>Capacitación</t>
  </si>
  <si>
    <t>A0020102-10</t>
  </si>
  <si>
    <t>Pagos a otras IPS</t>
  </si>
  <si>
    <t>A0020102-11</t>
  </si>
  <si>
    <t>Gastos e imprevistos</t>
  </si>
  <si>
    <t>A0020103</t>
  </si>
  <si>
    <t>IMPUESTOS Y MULTAS</t>
  </si>
  <si>
    <t>A0020103-01</t>
  </si>
  <si>
    <t>Impuestos (4x1000, predial, vehiculo y otros)</t>
  </si>
  <si>
    <t>A00202</t>
  </si>
  <si>
    <t>A0020201</t>
  </si>
  <si>
    <t>A002020101</t>
  </si>
  <si>
    <t>Mantenimiento hospitalario</t>
  </si>
  <si>
    <t>A002020102</t>
  </si>
  <si>
    <t>A002020102-02</t>
  </si>
  <si>
    <t>A002020102-03</t>
  </si>
  <si>
    <t>Gastos imprevistos</t>
  </si>
  <si>
    <t>A0020202</t>
  </si>
  <si>
    <t>A002020201</t>
  </si>
  <si>
    <t>A002020202</t>
  </si>
  <si>
    <t>OTROS GASTOS</t>
  </si>
  <si>
    <t>A002020202-02</t>
  </si>
  <si>
    <t>Compra de Combustible</t>
  </si>
  <si>
    <t>A003</t>
  </si>
  <si>
    <t>TRANSFERENCIA CORRIENTES</t>
  </si>
  <si>
    <t>A0033</t>
  </si>
  <si>
    <t>OTRAS TRANSFERENCIAS</t>
  </si>
  <si>
    <t>A003301</t>
  </si>
  <si>
    <t>Sentencias y conciliaciones</t>
  </si>
  <si>
    <t>A003302</t>
  </si>
  <si>
    <t>DESTINATARIOS DE OTRAS TRANSFERENCIAS</t>
  </si>
  <si>
    <t>A004</t>
  </si>
  <si>
    <t>GASTOS DE PRESTACION DE SERVICIOS</t>
  </si>
  <si>
    <t>A0041</t>
  </si>
  <si>
    <t>INSUMOS Y SUMINISTROS HOSPITALARIOS</t>
  </si>
  <si>
    <t>A004101</t>
  </si>
  <si>
    <t>COMPRA DE BIENES PARA LA PRESTACION DE SERVICIOS</t>
  </si>
  <si>
    <t>A004101-01</t>
  </si>
  <si>
    <t>Productos farmaceuticos</t>
  </si>
  <si>
    <t>A004101-02</t>
  </si>
  <si>
    <t>Material medico Quirurgico</t>
  </si>
  <si>
    <t>A004101-03</t>
  </si>
  <si>
    <t>Material de laboratorio</t>
  </si>
  <si>
    <t>A004101-04</t>
  </si>
  <si>
    <t>Material para odontologia</t>
  </si>
  <si>
    <t>D</t>
  </si>
  <si>
    <t>INVERSIONES</t>
  </si>
  <si>
    <t>D008</t>
  </si>
  <si>
    <t>PROGRAMAS DE INVERSION</t>
  </si>
  <si>
    <t>D00801</t>
  </si>
  <si>
    <t>FORMACION BRUTA DEL CAPITAL</t>
  </si>
  <si>
    <t>D0080101</t>
  </si>
  <si>
    <t>Subprog.Const.Remod.Adecuac. y Aplic.</t>
  </si>
  <si>
    <t>CUENTAS</t>
  </si>
  <si>
    <t>PAGAR</t>
  </si>
  <si>
    <t>N=(L+M)</t>
  </si>
  <si>
    <t>(M)</t>
  </si>
  <si>
    <t>(L)</t>
  </si>
  <si>
    <t>(J)</t>
  </si>
  <si>
    <t>(O=H-K)</t>
  </si>
  <si>
    <t>(P=K-N)</t>
  </si>
  <si>
    <t>II</t>
  </si>
  <si>
    <t>EGRESOS</t>
  </si>
  <si>
    <t>ADIC</t>
  </si>
  <si>
    <t>CONT</t>
  </si>
  <si>
    <t>CRE</t>
  </si>
  <si>
    <t>A001010299</t>
  </si>
  <si>
    <t>Vigencias Anteriores</t>
  </si>
  <si>
    <t>A001020199</t>
  </si>
  <si>
    <t>A001020299</t>
  </si>
  <si>
    <t>A002010299</t>
  </si>
  <si>
    <t>A002020199</t>
  </si>
  <si>
    <t>A002020202-03</t>
  </si>
  <si>
    <t>Mantenimiento de Vehiculo</t>
  </si>
  <si>
    <t>A002020299</t>
  </si>
  <si>
    <t>A003399999</t>
  </si>
  <si>
    <t>A004199999</t>
  </si>
  <si>
    <t>D008002999</t>
  </si>
  <si>
    <t>GASTO DE PERSONAL DE PLANTA</t>
  </si>
  <si>
    <t>GASTO DE PERSONAL INDIRECTO</t>
  </si>
  <si>
    <t>GASTO DE TRANFERENCIA</t>
  </si>
  <si>
    <t>GASTO GENERALES</t>
  </si>
  <si>
    <t>GASTO DE PRESTACION</t>
  </si>
  <si>
    <t>GASTO DE INVERSION</t>
  </si>
  <si>
    <t xml:space="preserve">                          COMPROMISOS</t>
  </si>
  <si>
    <t>GIRADO</t>
  </si>
  <si>
    <t>D00802</t>
  </si>
  <si>
    <t>D0080201</t>
  </si>
  <si>
    <t>D0080201-02</t>
  </si>
  <si>
    <t>GASTOS OPERATIVO DE INVERSION</t>
  </si>
  <si>
    <t>Desarrollo programa de prevencion y promocion</t>
  </si>
  <si>
    <t>A001020104-12</t>
  </si>
  <si>
    <t>D0080105</t>
  </si>
  <si>
    <t>A001020302-1</t>
  </si>
  <si>
    <t>A001020302-2</t>
  </si>
  <si>
    <t>A001020302-3</t>
  </si>
  <si>
    <t>A001020302-4</t>
  </si>
  <si>
    <t>Aportes a E.P.S con sin Fondo</t>
  </si>
  <si>
    <t>Aportes fondo Pesiones-Con Sit de Fondo</t>
  </si>
  <si>
    <t>Aportes Cesantias-Con Sit Fondos</t>
  </si>
  <si>
    <t>Aportes Riesgos Patronales</t>
  </si>
  <si>
    <t>A003302-02</t>
  </si>
  <si>
    <t xml:space="preserve">OTRAS </t>
  </si>
  <si>
    <t>A001010401-3</t>
  </si>
  <si>
    <t>Aportes Cesantias -Sin Situacion Fondo</t>
  </si>
  <si>
    <t>A0020102-07</t>
  </si>
  <si>
    <t>Vigilancia y aseo</t>
  </si>
  <si>
    <t>FECHA  DICIEMBRE  30 DEL 2012</t>
  </si>
  <si>
    <t>INFORME DE EJECUCION DE GASTOS A  DICIEMBRE 30  DEL AÑO 2.012</t>
  </si>
  <si>
    <t xml:space="preserve">REPRESENTANTE LEGAL: ADMA MANZUR MARTINEZ    FIRMA: _____________________   </t>
  </si>
  <si>
    <t>VIGENCIAS ANTERIORES</t>
  </si>
  <si>
    <t>TOTAL COMPROMISO</t>
  </si>
  <si>
    <t>MANTENIMIENTO</t>
  </si>
  <si>
    <t>SERVICIO PUBLICO</t>
  </si>
  <si>
    <t>Contribuciones - Sin Situacion de Fondos</t>
  </si>
  <si>
    <t>Aportes E.P.S  Sin Sit Fondo</t>
  </si>
  <si>
    <t>Aportes Fondo de Pesiones Sin Sit Fondo</t>
  </si>
  <si>
    <t>ENERO</t>
  </si>
  <si>
    <t>FEBRERO</t>
  </si>
  <si>
    <t>MARZO</t>
  </si>
  <si>
    <t>ADQ SERVICIO</t>
  </si>
  <si>
    <t>REM SERV TEC</t>
  </si>
  <si>
    <t>HONORARISOS</t>
  </si>
  <si>
    <t>REM SER TECNICOS</t>
  </si>
  <si>
    <t>HONORARIOS</t>
  </si>
  <si>
    <t>JUNTA DIRECTIVA</t>
  </si>
  <si>
    <t>EQUIPO</t>
  </si>
  <si>
    <t>MATERIALES</t>
  </si>
  <si>
    <t>MANTENIENTO  HOSPITALARIO</t>
  </si>
  <si>
    <t>PRODUCTOS FARMACEUTICOS</t>
  </si>
  <si>
    <t>LABORATORIO</t>
  </si>
  <si>
    <t>ODONTOLOGIA</t>
  </si>
  <si>
    <t>INVERSION</t>
  </si>
  <si>
    <t>MATERIAL MEDICO QUIRURGICO</t>
  </si>
  <si>
    <t>SENTENCIAS</t>
  </si>
  <si>
    <t>OJO EL 2193 TIENE PAGO EN INVERSION $40,000,000 MAS</t>
  </si>
  <si>
    <t>PIC-POA</t>
  </si>
  <si>
    <t>OJO</t>
  </si>
  <si>
    <t>OTRAS</t>
  </si>
  <si>
    <t>Cooperativas de Hospitales</t>
  </si>
  <si>
    <t>V,ANT</t>
  </si>
  <si>
    <t>V.ANTE</t>
  </si>
  <si>
    <t>V.ANT PIC-POA</t>
  </si>
  <si>
    <t>ok</t>
  </si>
  <si>
    <t>Aportes a EPS Con situación de fondos</t>
  </si>
  <si>
    <t>Aportes fondos pensiones Con sit de fondos</t>
  </si>
  <si>
    <t>Aportes a fondo de cesantias Con sit de fondos</t>
  </si>
  <si>
    <t>Aporte patronal riesgos profesionales Con sit de fondos</t>
  </si>
  <si>
    <t>Aportes a EPS Con situacion de fondos</t>
  </si>
  <si>
    <t>Aportes a fondos de cesantias Con sit de fondos</t>
  </si>
  <si>
    <t>Salud-Ocupacional</t>
  </si>
  <si>
    <t>8002100-1</t>
  </si>
  <si>
    <t>TRIMESTRE</t>
  </si>
  <si>
    <t>OBLIGACIONES</t>
  </si>
  <si>
    <t>(P)</t>
  </si>
  <si>
    <t>N=(P+M)</t>
  </si>
  <si>
    <t xml:space="preserve">REPRESENTANTE LEGAL: LENIN DORIA BURGOS    FIRMA: _____________________   </t>
  </si>
  <si>
    <t>Programa Especial 1</t>
  </si>
  <si>
    <t>211010100101-01</t>
  </si>
  <si>
    <t>Sueldos basico</t>
  </si>
  <si>
    <t>Insumos Hospitalarios</t>
  </si>
  <si>
    <t>Papeleria</t>
  </si>
  <si>
    <t>Seguros Generales</t>
  </si>
  <si>
    <t>Servicios publicos-Energia</t>
  </si>
  <si>
    <t xml:space="preserve"> Transporte</t>
  </si>
  <si>
    <t>Viaticos de los Funcionarios en Comision</t>
  </si>
  <si>
    <t xml:space="preserve">Servicio de Vigilancia </t>
  </si>
  <si>
    <t>Servicio de Aseo</t>
  </si>
  <si>
    <t>Servicio de Alimentacion-jornada de Bienestar social</t>
  </si>
  <si>
    <t>Gravamen a los Movimientos Financieros</t>
  </si>
  <si>
    <t>Arrendamiento Software (Licencia)</t>
  </si>
  <si>
    <t xml:space="preserve"> Combustible</t>
  </si>
  <si>
    <t>Repuestos</t>
  </si>
  <si>
    <t xml:space="preserve">Sentencias </t>
  </si>
  <si>
    <t>Cuota de Fiscalizacion y Auditaje</t>
  </si>
  <si>
    <t>Medicamentos</t>
  </si>
  <si>
    <t>Alimentacion de Pacientes</t>
  </si>
  <si>
    <t>Mantenimiento Planta Fisica</t>
  </si>
  <si>
    <t>INFORME DE EJECUCION DE GASTOS A  MARZO 31 DEL AÑO 2.022</t>
  </si>
  <si>
    <t>FECHA : ABRIL  05 DEL 2022</t>
  </si>
  <si>
    <t>ES.E. CAMU SANTA TERESITA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</si>
</sst>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_);_(* \(#,##0.0\);_(* &quot;-&quot;??_);_(@_)"/>
    <numFmt numFmtId="166" formatCode="_(* #,##0_);_(* \(#,##0\);_(* &quot;-&quot;??_);_(@_)"/>
  </numFmts>
  <fonts count="19" x14ac:knownFonts="1">
    <font>
      <sz val="10"/>
      <color indexed="8"/>
      <name val="MS Sans Serif"/>
    </font>
    <font>
      <sz val="8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.5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indexed="23"/>
      <name val="Arial"/>
      <family val="2"/>
    </font>
    <font>
      <b/>
      <sz val="8"/>
      <color indexed="23"/>
      <name val="Arial"/>
      <family val="2"/>
    </font>
    <font>
      <sz val="8"/>
      <color rgb="FFFF0000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6"/>
      <name val="Arial"/>
      <family val="2"/>
    </font>
    <font>
      <b/>
      <sz val="6"/>
      <color indexed="10"/>
      <name val="Arial"/>
      <family val="2"/>
    </font>
    <font>
      <b/>
      <sz val="6"/>
      <name val="Arial"/>
      <family val="2"/>
    </font>
    <font>
      <sz val="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/>
    <xf numFmtId="0" fontId="2" fillId="0" borderId="0" xfId="0" applyFont="1" applyBorder="1"/>
    <xf numFmtId="0" fontId="7" fillId="2" borderId="0" xfId="0" applyFont="1" applyFill="1"/>
    <xf numFmtId="0" fontId="7" fillId="0" borderId="0" xfId="0" applyFont="1" applyFill="1"/>
    <xf numFmtId="0" fontId="7" fillId="0" borderId="0" xfId="0" applyFont="1"/>
    <xf numFmtId="166" fontId="3" fillId="0" borderId="0" xfId="1" applyNumberFormat="1" applyFont="1"/>
    <xf numFmtId="166" fontId="3" fillId="0" borderId="0" xfId="0" applyNumberFormat="1" applyFont="1"/>
    <xf numFmtId="166" fontId="2" fillId="0" borderId="0" xfId="0" applyNumberFormat="1" applyFont="1"/>
    <xf numFmtId="0" fontId="4" fillId="0" borderId="0" xfId="0" applyFont="1"/>
    <xf numFmtId="0" fontId="1" fillId="0" borderId="0" xfId="0" applyFont="1"/>
    <xf numFmtId="43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/>
    <xf numFmtId="0" fontId="4" fillId="0" borderId="6" xfId="0" applyFont="1" applyBorder="1"/>
    <xf numFmtId="166" fontId="4" fillId="0" borderId="1" xfId="1" applyNumberFormat="1" applyFont="1" applyBorder="1"/>
    <xf numFmtId="1" fontId="4" fillId="0" borderId="2" xfId="1" applyNumberFormat="1" applyFont="1" applyBorder="1"/>
    <xf numFmtId="2" fontId="4" fillId="0" borderId="1" xfId="1" applyNumberFormat="1" applyFont="1" applyBorder="1"/>
    <xf numFmtId="166" fontId="4" fillId="0" borderId="7" xfId="1" applyNumberFormat="1" applyFont="1" applyBorder="1"/>
    <xf numFmtId="166" fontId="4" fillId="0" borderId="3" xfId="1" applyNumberFormat="1" applyFont="1" applyBorder="1"/>
    <xf numFmtId="166" fontId="1" fillId="0" borderId="7" xfId="1" applyNumberFormat="1" applyFont="1" applyBorder="1"/>
    <xf numFmtId="166" fontId="4" fillId="0" borderId="6" xfId="1" applyNumberFormat="1" applyFont="1" applyBorder="1"/>
    <xf numFmtId="0" fontId="4" fillId="0" borderId="7" xfId="0" applyFont="1" applyBorder="1"/>
    <xf numFmtId="0" fontId="4" fillId="0" borderId="9" xfId="0" applyFont="1" applyBorder="1"/>
    <xf numFmtId="2" fontId="4" fillId="0" borderId="7" xfId="1" applyNumberFormat="1" applyFont="1" applyBorder="1"/>
    <xf numFmtId="2" fontId="4" fillId="0" borderId="0" xfId="1" applyNumberFormat="1" applyFont="1" applyBorder="1"/>
    <xf numFmtId="43" fontId="4" fillId="0" borderId="7" xfId="1" applyFont="1" applyBorder="1"/>
    <xf numFmtId="166" fontId="4" fillId="0" borderId="8" xfId="1" applyNumberFormat="1" applyFont="1" applyBorder="1"/>
    <xf numFmtId="166" fontId="4" fillId="0" borderId="9" xfId="1" applyNumberFormat="1" applyFont="1" applyBorder="1"/>
    <xf numFmtId="43" fontId="4" fillId="0" borderId="8" xfId="1" applyFont="1" applyBorder="1"/>
    <xf numFmtId="0" fontId="1" fillId="0" borderId="7" xfId="0" applyFont="1" applyBorder="1"/>
    <xf numFmtId="0" fontId="1" fillId="0" borderId="9" xfId="0" applyFont="1" applyBorder="1"/>
    <xf numFmtId="166" fontId="1" fillId="0" borderId="8" xfId="1" applyNumberFormat="1" applyFont="1" applyBorder="1"/>
    <xf numFmtId="2" fontId="1" fillId="0" borderId="7" xfId="1" applyNumberFormat="1" applyFont="1" applyBorder="1"/>
    <xf numFmtId="2" fontId="1" fillId="0" borderId="0" xfId="1" applyNumberFormat="1" applyFont="1" applyBorder="1"/>
    <xf numFmtId="43" fontId="1" fillId="0" borderId="7" xfId="1" applyFont="1" applyBorder="1"/>
    <xf numFmtId="166" fontId="1" fillId="0" borderId="0" xfId="1" applyNumberFormat="1" applyFont="1" applyBorder="1"/>
    <xf numFmtId="166" fontId="1" fillId="0" borderId="9" xfId="1" applyNumberFormat="1" applyFont="1" applyBorder="1"/>
    <xf numFmtId="166" fontId="4" fillId="0" borderId="0" xfId="1" applyNumberFormat="1" applyFont="1" applyBorder="1"/>
    <xf numFmtId="43" fontId="4" fillId="0" borderId="9" xfId="1" applyFont="1" applyBorder="1"/>
    <xf numFmtId="166" fontId="8" fillId="0" borderId="7" xfId="1" applyNumberFormat="1" applyFont="1" applyBorder="1"/>
    <xf numFmtId="1" fontId="1" fillId="0" borderId="0" xfId="1" applyNumberFormat="1" applyFont="1" applyBorder="1"/>
    <xf numFmtId="1" fontId="1" fillId="0" borderId="7" xfId="1" applyNumberFormat="1" applyFont="1" applyBorder="1"/>
    <xf numFmtId="1" fontId="1" fillId="0" borderId="9" xfId="1" applyNumberFormat="1" applyFont="1" applyBorder="1"/>
    <xf numFmtId="43" fontId="1" fillId="0" borderId="9" xfId="1" applyFont="1" applyBorder="1"/>
    <xf numFmtId="1" fontId="4" fillId="0" borderId="7" xfId="1" applyNumberFormat="1" applyFont="1" applyBorder="1"/>
    <xf numFmtId="1" fontId="4" fillId="0" borderId="9" xfId="1" applyNumberFormat="1" applyFont="1" applyBorder="1"/>
    <xf numFmtId="166" fontId="1" fillId="3" borderId="0" xfId="1" applyNumberFormat="1" applyFont="1" applyFill="1" applyBorder="1"/>
    <xf numFmtId="43" fontId="1" fillId="0" borderId="8" xfId="1" applyFont="1" applyBorder="1"/>
    <xf numFmtId="43" fontId="1" fillId="0" borderId="0" xfId="1" applyFont="1" applyBorder="1"/>
    <xf numFmtId="43" fontId="4" fillId="0" borderId="0" xfId="1" applyFont="1" applyBorder="1"/>
    <xf numFmtId="166" fontId="5" fillId="0" borderId="7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 applyBorder="1"/>
    <xf numFmtId="43" fontId="9" fillId="0" borderId="0" xfId="1" applyFont="1" applyBorder="1"/>
    <xf numFmtId="1" fontId="9" fillId="0" borderId="7" xfId="1" applyNumberFormat="1" applyFont="1" applyBorder="1"/>
    <xf numFmtId="1" fontId="1" fillId="0" borderId="8" xfId="1" applyNumberFormat="1" applyFont="1" applyBorder="1"/>
    <xf numFmtId="165" fontId="4" fillId="0" borderId="7" xfId="1" applyNumberFormat="1" applyFont="1" applyBorder="1"/>
    <xf numFmtId="166" fontId="10" fillId="0" borderId="7" xfId="1" applyNumberFormat="1" applyFont="1" applyFill="1" applyBorder="1"/>
    <xf numFmtId="0" fontId="11" fillId="3" borderId="7" xfId="0" applyFont="1" applyFill="1" applyBorder="1"/>
    <xf numFmtId="0" fontId="11" fillId="3" borderId="9" xfId="0" applyFont="1" applyFill="1" applyBorder="1"/>
    <xf numFmtId="166" fontId="11" fillId="0" borderId="7" xfId="1" applyNumberFormat="1" applyFont="1" applyFill="1" applyBorder="1"/>
    <xf numFmtId="2" fontId="11" fillId="0" borderId="7" xfId="1" applyNumberFormat="1" applyFont="1" applyFill="1" applyBorder="1"/>
    <xf numFmtId="2" fontId="11" fillId="0" borderId="0" xfId="1" applyNumberFormat="1" applyFont="1" applyFill="1" applyBorder="1"/>
    <xf numFmtId="166" fontId="10" fillId="0" borderId="8" xfId="1" applyNumberFormat="1" applyFont="1" applyFill="1" applyBorder="1"/>
    <xf numFmtId="1" fontId="11" fillId="0" borderId="7" xfId="1" applyNumberFormat="1" applyFont="1" applyFill="1" applyBorder="1"/>
    <xf numFmtId="43" fontId="11" fillId="0" borderId="9" xfId="1" applyFont="1" applyFill="1" applyBorder="1"/>
    <xf numFmtId="43" fontId="11" fillId="0" borderId="0" xfId="1" applyFont="1" applyFill="1" applyBorder="1"/>
    <xf numFmtId="166" fontId="11" fillId="0" borderId="0" xfId="1" applyNumberFormat="1" applyFont="1" applyFill="1" applyBorder="1"/>
    <xf numFmtId="43" fontId="10" fillId="0" borderId="8" xfId="1" applyFont="1" applyBorder="1"/>
    <xf numFmtId="166" fontId="10" fillId="0" borderId="7" xfId="1" applyNumberFormat="1" applyFont="1" applyBorder="1"/>
    <xf numFmtId="166" fontId="1" fillId="0" borderId="7" xfId="1" applyNumberFormat="1" applyFont="1" applyFill="1" applyBorder="1"/>
    <xf numFmtId="0" fontId="1" fillId="0" borderId="7" xfId="0" applyFont="1" applyBorder="1" applyAlignment="1">
      <alignment horizontal="left"/>
    </xf>
    <xf numFmtId="1" fontId="4" fillId="0" borderId="8" xfId="1" applyNumberFormat="1" applyFont="1" applyBorder="1"/>
    <xf numFmtId="1" fontId="4" fillId="0" borderId="0" xfId="1" applyNumberFormat="1" applyFont="1" applyBorder="1"/>
    <xf numFmtId="0" fontId="1" fillId="0" borderId="0" xfId="0" applyFont="1" applyBorder="1"/>
    <xf numFmtId="1" fontId="8" fillId="0" borderId="9" xfId="1" applyNumberFormat="1" applyFont="1" applyBorder="1"/>
    <xf numFmtId="0" fontId="4" fillId="0" borderId="0" xfId="0" applyFont="1" applyBorder="1"/>
    <xf numFmtId="2" fontId="4" fillId="0" borderId="8" xfId="1" applyNumberFormat="1" applyFont="1" applyBorder="1"/>
    <xf numFmtId="0" fontId="1" fillId="0" borderId="10" xfId="0" applyFont="1" applyBorder="1"/>
    <xf numFmtId="0" fontId="1" fillId="0" borderId="11" xfId="0" applyFont="1" applyBorder="1"/>
    <xf numFmtId="2" fontId="1" fillId="0" borderId="10" xfId="1" applyNumberFormat="1" applyFont="1" applyBorder="1"/>
    <xf numFmtId="1" fontId="1" fillId="0" borderId="10" xfId="1" applyNumberFormat="1" applyFont="1" applyBorder="1"/>
    <xf numFmtId="43" fontId="1" fillId="0" borderId="14" xfId="1" applyFont="1" applyBorder="1"/>
    <xf numFmtId="1" fontId="1" fillId="0" borderId="13" xfId="1" applyNumberFormat="1" applyFont="1" applyBorder="1"/>
    <xf numFmtId="166" fontId="1" fillId="0" borderId="0" xfId="0" applyNumberFormat="1" applyFont="1" applyBorder="1"/>
    <xf numFmtId="0" fontId="1" fillId="0" borderId="13" xfId="0" applyFont="1" applyBorder="1"/>
    <xf numFmtId="166" fontId="1" fillId="0" borderId="11" xfId="0" applyNumberFormat="1" applyFont="1" applyBorder="1"/>
    <xf numFmtId="0" fontId="1" fillId="0" borderId="12" xfId="0" applyFont="1" applyBorder="1"/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Protection="1">
      <protection locked="0"/>
    </xf>
    <xf numFmtId="166" fontId="4" fillId="0" borderId="7" xfId="1" applyNumberFormat="1" applyFont="1" applyBorder="1" applyProtection="1">
      <protection locked="0"/>
    </xf>
    <xf numFmtId="166" fontId="4" fillId="0" borderId="8" xfId="1" applyNumberFormat="1" applyFont="1" applyBorder="1" applyProtection="1">
      <protection locked="0"/>
    </xf>
    <xf numFmtId="166" fontId="1" fillId="0" borderId="8" xfId="1" applyNumberFormat="1" applyFont="1" applyBorder="1" applyProtection="1">
      <protection locked="0"/>
    </xf>
    <xf numFmtId="166" fontId="6" fillId="0" borderId="8" xfId="1" applyNumberFormat="1" applyFont="1" applyBorder="1" applyProtection="1">
      <protection locked="0"/>
    </xf>
    <xf numFmtId="166" fontId="11" fillId="0" borderId="7" xfId="1" applyNumberFormat="1" applyFont="1" applyFill="1" applyBorder="1" applyProtection="1">
      <protection locked="0"/>
    </xf>
    <xf numFmtId="166" fontId="11" fillId="0" borderId="8" xfId="1" applyNumberFormat="1" applyFont="1" applyFill="1" applyBorder="1" applyProtection="1">
      <protection locked="0"/>
    </xf>
    <xf numFmtId="166" fontId="1" fillId="0" borderId="0" xfId="1" applyNumberFormat="1" applyFont="1" applyBorder="1" applyProtection="1">
      <protection locked="0"/>
    </xf>
    <xf numFmtId="166" fontId="1" fillId="0" borderId="10" xfId="1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3" fillId="0" borderId="0" xfId="0" applyFont="1" applyProtection="1">
      <protection locked="0"/>
    </xf>
    <xf numFmtId="166" fontId="3" fillId="0" borderId="0" xfId="0" applyNumberFormat="1" applyFont="1" applyProtection="1">
      <protection locked="0"/>
    </xf>
    <xf numFmtId="43" fontId="3" fillId="0" borderId="0" xfId="0" applyNumberFormat="1" applyFont="1" applyProtection="1">
      <protection locked="0"/>
    </xf>
    <xf numFmtId="43" fontId="3" fillId="0" borderId="0" xfId="1" applyFont="1" applyProtection="1">
      <protection locked="0"/>
    </xf>
    <xf numFmtId="166" fontId="2" fillId="0" borderId="0" xfId="0" applyNumberFormat="1" applyFont="1" applyProtection="1">
      <protection locked="0"/>
    </xf>
    <xf numFmtId="164" fontId="1" fillId="0" borderId="8" xfId="1" applyNumberFormat="1" applyFont="1" applyBorder="1" applyProtection="1">
      <protection locked="0"/>
    </xf>
    <xf numFmtId="166" fontId="8" fillId="0" borderId="0" xfId="1" applyNumberFormat="1" applyFont="1" applyBorder="1"/>
    <xf numFmtId="166" fontId="9" fillId="0" borderId="7" xfId="1" applyNumberFormat="1" applyFont="1" applyBorder="1"/>
    <xf numFmtId="166" fontId="1" fillId="0" borderId="10" xfId="1" applyNumberFormat="1" applyFont="1" applyBorder="1"/>
    <xf numFmtId="166" fontId="4" fillId="0" borderId="2" xfId="1" applyNumberFormat="1" applyFont="1" applyBorder="1"/>
    <xf numFmtId="43" fontId="12" fillId="0" borderId="7" xfId="1" applyFont="1" applyBorder="1"/>
    <xf numFmtId="43" fontId="1" fillId="4" borderId="7" xfId="1" applyFont="1" applyFill="1" applyBorder="1"/>
    <xf numFmtId="166" fontId="1" fillId="4" borderId="7" xfId="1" applyNumberFormat="1" applyFont="1" applyFill="1" applyBorder="1"/>
    <xf numFmtId="166" fontId="12" fillId="0" borderId="7" xfId="1" applyNumberFormat="1" applyFont="1" applyBorder="1"/>
    <xf numFmtId="166" fontId="5" fillId="0" borderId="0" xfId="1" applyNumberFormat="1" applyFont="1" applyBorder="1"/>
    <xf numFmtId="0" fontId="6" fillId="0" borderId="9" xfId="0" applyFont="1" applyBorder="1"/>
    <xf numFmtId="0" fontId="6" fillId="0" borderId="7" xfId="0" applyFont="1" applyBorder="1"/>
    <xf numFmtId="0" fontId="5" fillId="0" borderId="9" xfId="0" applyFont="1" applyBorder="1"/>
    <xf numFmtId="166" fontId="1" fillId="5" borderId="7" xfId="1" applyNumberFormat="1" applyFont="1" applyFill="1" applyBorder="1"/>
    <xf numFmtId="166" fontId="1" fillId="0" borderId="14" xfId="1" applyNumberFormat="1" applyFont="1" applyBorder="1"/>
    <xf numFmtId="43" fontId="1" fillId="4" borderId="8" xfId="1" applyFont="1" applyFill="1" applyBorder="1"/>
    <xf numFmtId="43" fontId="10" fillId="4" borderId="7" xfId="1" applyFont="1" applyFill="1" applyBorder="1"/>
    <xf numFmtId="166" fontId="10" fillId="4" borderId="8" xfId="1" applyNumberFormat="1" applyFont="1" applyFill="1" applyBorder="1"/>
    <xf numFmtId="166" fontId="10" fillId="4" borderId="7" xfId="1" applyNumberFormat="1" applyFont="1" applyFill="1" applyBorder="1"/>
    <xf numFmtId="166" fontId="1" fillId="4" borderId="8" xfId="1" applyNumberFormat="1" applyFont="1" applyFill="1" applyBorder="1"/>
    <xf numFmtId="166" fontId="12" fillId="0" borderId="8" xfId="1" applyNumberFormat="1" applyFont="1" applyBorder="1"/>
    <xf numFmtId="1" fontId="12" fillId="0" borderId="8" xfId="1" applyNumberFormat="1" applyFont="1" applyBorder="1"/>
    <xf numFmtId="166" fontId="12" fillId="0" borderId="0" xfId="1" applyNumberFormat="1" applyFont="1" applyBorder="1"/>
    <xf numFmtId="166" fontId="2" fillId="0" borderId="0" xfId="1" applyNumberFormat="1" applyFont="1"/>
    <xf numFmtId="166" fontId="15" fillId="0" borderId="7" xfId="1" applyNumberFormat="1" applyFont="1" applyBorder="1"/>
    <xf numFmtId="2" fontId="17" fillId="0" borderId="7" xfId="1" applyNumberFormat="1" applyFont="1" applyFill="1" applyBorder="1"/>
    <xf numFmtId="166" fontId="15" fillId="0" borderId="7" xfId="1" applyNumberFormat="1" applyFont="1" applyFill="1" applyBorder="1"/>
    <xf numFmtId="166" fontId="18" fillId="0" borderId="7" xfId="1" applyNumberFormat="1" applyFont="1" applyBorder="1"/>
    <xf numFmtId="2" fontId="17" fillId="0" borderId="0" xfId="1" applyNumberFormat="1" applyFont="1" applyFill="1" applyBorder="1"/>
    <xf numFmtId="166" fontId="18" fillId="0" borderId="0" xfId="1" applyNumberFormat="1" applyFont="1" applyBorder="1"/>
    <xf numFmtId="166" fontId="15" fillId="0" borderId="0" xfId="1" applyNumberFormat="1" applyFont="1" applyBorder="1"/>
    <xf numFmtId="0" fontId="14" fillId="0" borderId="0" xfId="0" applyFont="1"/>
    <xf numFmtId="166" fontId="14" fillId="0" borderId="0" xfId="1" applyNumberFormat="1" applyFont="1"/>
    <xf numFmtId="0" fontId="14" fillId="0" borderId="0" xfId="0" applyFont="1" applyProtection="1">
      <protection locked="0"/>
    </xf>
    <xf numFmtId="166" fontId="14" fillId="0" borderId="0" xfId="0" applyNumberFormat="1" applyFont="1"/>
    <xf numFmtId="0" fontId="17" fillId="5" borderId="0" xfId="0" applyFont="1" applyFill="1"/>
    <xf numFmtId="0" fontId="17" fillId="5" borderId="0" xfId="0" applyFont="1" applyFill="1" applyProtection="1">
      <protection locked="0"/>
    </xf>
    <xf numFmtId="0" fontId="15" fillId="0" borderId="0" xfId="0" applyFont="1"/>
    <xf numFmtId="0" fontId="15" fillId="0" borderId="0" xfId="0" applyFont="1" applyFill="1"/>
    <xf numFmtId="43" fontId="15" fillId="0" borderId="0" xfId="0" applyNumberFormat="1" applyFont="1"/>
    <xf numFmtId="0" fontId="17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7" fillId="0" borderId="6" xfId="0" applyFont="1" applyBorder="1"/>
    <xf numFmtId="166" fontId="17" fillId="0" borderId="1" xfId="1" applyNumberFormat="1" applyFont="1" applyBorder="1" applyProtection="1">
      <protection locked="0"/>
    </xf>
    <xf numFmtId="166" fontId="17" fillId="0" borderId="2" xfId="1" applyNumberFormat="1" applyFont="1" applyBorder="1"/>
    <xf numFmtId="2" fontId="17" fillId="0" borderId="1" xfId="1" applyNumberFormat="1" applyFont="1" applyBorder="1"/>
    <xf numFmtId="166" fontId="17" fillId="0" borderId="1" xfId="1" applyNumberFormat="1" applyFont="1" applyBorder="1"/>
    <xf numFmtId="166" fontId="17" fillId="0" borderId="3" xfId="1" applyNumberFormat="1" applyFont="1" applyBorder="1"/>
    <xf numFmtId="166" fontId="15" fillId="0" borderId="8" xfId="1" applyNumberFormat="1" applyFont="1" applyBorder="1"/>
    <xf numFmtId="166" fontId="17" fillId="0" borderId="17" xfId="1" applyNumberFormat="1" applyFont="1" applyBorder="1"/>
    <xf numFmtId="0" fontId="13" fillId="0" borderId="0" xfId="0" applyFont="1"/>
    <xf numFmtId="0" fontId="17" fillId="0" borderId="7" xfId="0" applyFont="1" applyBorder="1" applyAlignment="1">
      <alignment horizontal="left"/>
    </xf>
    <xf numFmtId="0" fontId="17" fillId="0" borderId="9" xfId="0" applyFont="1" applyBorder="1"/>
    <xf numFmtId="166" fontId="17" fillId="0" borderId="7" xfId="1" applyNumberFormat="1" applyFont="1" applyBorder="1" applyProtection="1">
      <protection locked="0"/>
    </xf>
    <xf numFmtId="166" fontId="17" fillId="0" borderId="7" xfId="1" applyNumberFormat="1" applyFont="1" applyBorder="1"/>
    <xf numFmtId="166" fontId="17" fillId="0" borderId="0" xfId="1" applyNumberFormat="1" applyFont="1" applyBorder="1"/>
    <xf numFmtId="2" fontId="17" fillId="0" borderId="7" xfId="1" applyNumberFormat="1" applyFont="1" applyBorder="1"/>
    <xf numFmtId="166" fontId="17" fillId="0" borderId="8" xfId="1" applyNumberFormat="1" applyFont="1" applyBorder="1"/>
    <xf numFmtId="166" fontId="17" fillId="0" borderId="18" xfId="1" applyNumberFormat="1" applyFont="1" applyBorder="1"/>
    <xf numFmtId="2" fontId="17" fillId="0" borderId="0" xfId="1" applyNumberFormat="1" applyFont="1" applyBorder="1"/>
    <xf numFmtId="166" fontId="17" fillId="0" borderId="8" xfId="1" applyNumberFormat="1" applyFont="1" applyBorder="1" applyProtection="1">
      <protection locked="0"/>
    </xf>
    <xf numFmtId="1" fontId="15" fillId="0" borderId="7" xfId="0" applyNumberFormat="1" applyFont="1" applyBorder="1" applyAlignment="1">
      <alignment horizontal="left"/>
    </xf>
    <xf numFmtId="0" fontId="15" fillId="0" borderId="9" xfId="0" applyFont="1" applyBorder="1"/>
    <xf numFmtId="166" fontId="15" fillId="0" borderId="8" xfId="1" applyNumberFormat="1" applyFont="1" applyBorder="1" applyProtection="1">
      <protection locked="0"/>
    </xf>
    <xf numFmtId="2" fontId="15" fillId="0" borderId="7" xfId="1" applyNumberFormat="1" applyFont="1" applyBorder="1"/>
    <xf numFmtId="43" fontId="13" fillId="0" borderId="0" xfId="0" applyNumberFormat="1" applyFont="1"/>
    <xf numFmtId="43" fontId="15" fillId="0" borderId="7" xfId="1" applyFont="1" applyBorder="1"/>
    <xf numFmtId="2" fontId="15" fillId="0" borderId="0" xfId="1" applyNumberFormat="1" applyFont="1" applyBorder="1"/>
    <xf numFmtId="43" fontId="14" fillId="0" borderId="0" xfId="0" applyNumberFormat="1" applyFont="1"/>
    <xf numFmtId="43" fontId="17" fillId="0" borderId="8" xfId="1" applyFont="1" applyBorder="1"/>
    <xf numFmtId="0" fontId="15" fillId="0" borderId="7" xfId="0" applyFont="1" applyBorder="1" applyAlignment="1">
      <alignment horizontal="left"/>
    </xf>
    <xf numFmtId="1" fontId="15" fillId="0" borderId="7" xfId="1" applyNumberFormat="1" applyFont="1" applyBorder="1"/>
    <xf numFmtId="1" fontId="17" fillId="0" borderId="7" xfId="1" applyNumberFormat="1" applyFont="1" applyBorder="1"/>
    <xf numFmtId="166" fontId="15" fillId="3" borderId="0" xfId="1" applyNumberFormat="1" applyFont="1" applyFill="1" applyBorder="1"/>
    <xf numFmtId="166" fontId="15" fillId="3" borderId="8" xfId="1" applyNumberFormat="1" applyFont="1" applyFill="1" applyBorder="1"/>
    <xf numFmtId="1" fontId="15" fillId="0" borderId="0" xfId="1" applyNumberFormat="1" applyFont="1" applyBorder="1"/>
    <xf numFmtId="43" fontId="15" fillId="0" borderId="8" xfId="1" applyFont="1" applyBorder="1"/>
    <xf numFmtId="166" fontId="17" fillId="5" borderId="7" xfId="1" applyNumberFormat="1" applyFont="1" applyFill="1" applyBorder="1"/>
    <xf numFmtId="166" fontId="17" fillId="0" borderId="7" xfId="1" applyNumberFormat="1" applyFont="1" applyBorder="1" applyAlignment="1">
      <alignment horizontal="center"/>
    </xf>
    <xf numFmtId="166" fontId="15" fillId="5" borderId="7" xfId="1" applyNumberFormat="1" applyFont="1" applyFill="1" applyBorder="1"/>
    <xf numFmtId="166" fontId="15" fillId="5" borderId="8" xfId="1" applyNumberFormat="1" applyFont="1" applyFill="1" applyBorder="1"/>
    <xf numFmtId="2" fontId="15" fillId="0" borderId="8" xfId="1" applyNumberFormat="1" applyFont="1" applyBorder="1"/>
    <xf numFmtId="43" fontId="17" fillId="0" borderId="7" xfId="1" applyFont="1" applyBorder="1"/>
    <xf numFmtId="43" fontId="17" fillId="0" borderId="0" xfId="1" applyFont="1" applyBorder="1"/>
    <xf numFmtId="0" fontId="16" fillId="0" borderId="0" xfId="0" applyFont="1"/>
    <xf numFmtId="166" fontId="13" fillId="0" borderId="0" xfId="0" applyNumberFormat="1" applyFont="1"/>
    <xf numFmtId="43" fontId="15" fillId="0" borderId="0" xfId="1" applyFont="1" applyBorder="1"/>
    <xf numFmtId="166" fontId="13" fillId="0" borderId="0" xfId="1" applyNumberFormat="1" applyFont="1"/>
    <xf numFmtId="0" fontId="17" fillId="3" borderId="9" xfId="0" applyFont="1" applyFill="1" applyBorder="1"/>
    <xf numFmtId="166" fontId="17" fillId="0" borderId="7" xfId="1" applyNumberFormat="1" applyFont="1" applyFill="1" applyBorder="1" applyProtection="1">
      <protection locked="0"/>
    </xf>
    <xf numFmtId="166" fontId="17" fillId="0" borderId="7" xfId="1" applyNumberFormat="1" applyFont="1" applyFill="1" applyBorder="1"/>
    <xf numFmtId="166" fontId="17" fillId="0" borderId="8" xfId="1" applyNumberFormat="1" applyFont="1" applyFill="1" applyBorder="1"/>
    <xf numFmtId="166" fontId="15" fillId="0" borderId="8" xfId="1" applyNumberFormat="1" applyFont="1" applyFill="1" applyBorder="1"/>
    <xf numFmtId="0" fontId="16" fillId="0" borderId="0" xfId="0" applyFont="1" applyFill="1"/>
    <xf numFmtId="166" fontId="16" fillId="0" borderId="0" xfId="1" applyNumberFormat="1" applyFont="1" applyFill="1"/>
    <xf numFmtId="0" fontId="16" fillId="2" borderId="0" xfId="0" applyFont="1" applyFill="1"/>
    <xf numFmtId="166" fontId="15" fillId="0" borderId="0" xfId="1" applyNumberFormat="1" applyFont="1" applyFill="1" applyBorder="1"/>
    <xf numFmtId="0" fontId="18" fillId="0" borderId="9" xfId="0" applyFont="1" applyBorder="1"/>
    <xf numFmtId="0" fontId="15" fillId="5" borderId="9" xfId="0" applyFont="1" applyFill="1" applyBorder="1"/>
    <xf numFmtId="0" fontId="18" fillId="5" borderId="9" xfId="0" applyFont="1" applyFill="1" applyBorder="1"/>
    <xf numFmtId="0" fontId="14" fillId="0" borderId="9" xfId="0" applyFont="1" applyBorder="1"/>
    <xf numFmtId="166" fontId="15" fillId="0" borderId="0" xfId="1" applyNumberFormat="1" applyFont="1" applyBorder="1" applyProtection="1">
      <protection locked="0"/>
    </xf>
    <xf numFmtId="1" fontId="17" fillId="0" borderId="8" xfId="1" applyNumberFormat="1" applyFont="1" applyBorder="1"/>
    <xf numFmtId="0" fontId="15" fillId="0" borderId="0" xfId="0" applyFont="1" applyBorder="1"/>
    <xf numFmtId="0" fontId="13" fillId="0" borderId="0" xfId="0" applyFont="1" applyBorder="1"/>
    <xf numFmtId="166" fontId="15" fillId="0" borderId="9" xfId="1" applyNumberFormat="1" applyFont="1" applyBorder="1"/>
    <xf numFmtId="0" fontId="17" fillId="0" borderId="0" xfId="0" applyFont="1" applyBorder="1"/>
    <xf numFmtId="2" fontId="17" fillId="0" borderId="8" xfId="1" applyNumberFormat="1" applyFont="1" applyBorder="1"/>
    <xf numFmtId="0" fontId="15" fillId="0" borderId="10" xfId="0" applyFont="1" applyBorder="1" applyAlignment="1">
      <alignment horizontal="left"/>
    </xf>
    <xf numFmtId="0" fontId="15" fillId="0" borderId="11" xfId="0" applyFont="1" applyBorder="1"/>
    <xf numFmtId="166" fontId="15" fillId="0" borderId="10" xfId="1" applyNumberFormat="1" applyFont="1" applyBorder="1" applyProtection="1">
      <protection locked="0"/>
    </xf>
    <xf numFmtId="2" fontId="15" fillId="0" borderId="10" xfId="1" applyNumberFormat="1" applyFont="1" applyBorder="1"/>
    <xf numFmtId="166" fontId="15" fillId="0" borderId="10" xfId="1" applyNumberFormat="1" applyFont="1" applyBorder="1"/>
    <xf numFmtId="1" fontId="15" fillId="0" borderId="13" xfId="1" applyNumberFormat="1" applyFont="1" applyBorder="1"/>
    <xf numFmtId="166" fontId="15" fillId="0" borderId="13" xfId="1" applyNumberFormat="1" applyFont="1" applyBorder="1"/>
    <xf numFmtId="166" fontId="15" fillId="0" borderId="12" xfId="1" applyNumberFormat="1" applyFont="1" applyBorder="1"/>
    <xf numFmtId="166" fontId="15" fillId="0" borderId="15" xfId="1" applyNumberFormat="1" applyFont="1" applyBorder="1"/>
    <xf numFmtId="1" fontId="15" fillId="0" borderId="10" xfId="1" applyNumberFormat="1" applyFont="1" applyBorder="1"/>
    <xf numFmtId="43" fontId="15" fillId="0" borderId="20" xfId="1" applyFont="1" applyBorder="1"/>
    <xf numFmtId="166" fontId="15" fillId="0" borderId="5" xfId="1" applyNumberFormat="1" applyFont="1" applyBorder="1"/>
    <xf numFmtId="1" fontId="15" fillId="0" borderId="19" xfId="1" applyNumberFormat="1" applyFont="1" applyBorder="1"/>
    <xf numFmtId="0" fontId="15" fillId="0" borderId="0" xfId="0" applyFont="1" applyBorder="1" applyProtection="1">
      <protection locked="0"/>
    </xf>
    <xf numFmtId="166" fontId="15" fillId="0" borderId="0" xfId="0" applyNumberFormat="1" applyFont="1" applyBorder="1"/>
    <xf numFmtId="0" fontId="15" fillId="0" borderId="13" xfId="0" applyFont="1" applyBorder="1"/>
    <xf numFmtId="0" fontId="15" fillId="0" borderId="11" xfId="0" applyFont="1" applyBorder="1" applyProtection="1">
      <protection locked="0"/>
    </xf>
    <xf numFmtId="166" fontId="15" fillId="0" borderId="11" xfId="0" applyNumberFormat="1" applyFont="1" applyBorder="1"/>
    <xf numFmtId="0" fontId="15" fillId="0" borderId="12" xfId="0" applyFont="1" applyBorder="1"/>
    <xf numFmtId="1" fontId="1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43</xdr:row>
      <xdr:rowOff>0</xdr:rowOff>
    </xdr:from>
    <xdr:ext cx="5852756" cy="937629"/>
    <xdr:sp macro="" textlink="">
      <xdr:nvSpPr>
        <xdr:cNvPr id="2" name="Rectángulo 1"/>
        <xdr:cNvSpPr/>
      </xdr:nvSpPr>
      <xdr:spPr>
        <a:xfrm rot="1617138">
          <a:off x="3031267" y="4517939"/>
          <a:ext cx="585275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ORIGINAL</a:t>
          </a:r>
          <a:r>
            <a:rPr lang="es-ES" sz="5400" b="1" cap="none" spc="50" baseline="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r>
            <a:rPr lang="es-ES" sz="5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FIRMADO</a:t>
          </a:r>
          <a:endParaRPr lang="es-E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14</xdr:col>
      <xdr:colOff>424765</xdr:colOff>
      <xdr:row>0</xdr:row>
      <xdr:rowOff>64358</xdr:rowOff>
    </xdr:from>
    <xdr:to>
      <xdr:col>16</xdr:col>
      <xdr:colOff>77231</xdr:colOff>
      <xdr:row>3</xdr:row>
      <xdr:rowOff>51486</xdr:rowOff>
    </xdr:to>
    <xdr:pic>
      <xdr:nvPicPr>
        <xdr:cNvPr id="5" name="Imagen 4" descr="D:\KATRINA\Logos Camu PNG\Logo Camu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65"/>
        <a:stretch/>
      </xdr:blipFill>
      <xdr:spPr bwMode="auto">
        <a:xfrm>
          <a:off x="10574039" y="64358"/>
          <a:ext cx="1139138" cy="2960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198"/>
  <sheetViews>
    <sheetView topLeftCell="B3" workbookViewId="0">
      <selection activeCell="C3" sqref="C1:H1048576"/>
    </sheetView>
  </sheetViews>
  <sheetFormatPr baseColWidth="10" defaultRowHeight="11.25" x14ac:dyDescent="0.2"/>
  <cols>
    <col min="1" max="1" width="12.28515625" style="2" customWidth="1"/>
    <col min="2" max="2" width="38.7109375" style="2" customWidth="1"/>
    <col min="3" max="3" width="15" style="120" customWidth="1"/>
    <col min="4" max="4" width="12" style="2" customWidth="1"/>
    <col min="5" max="5" width="11.85546875" style="2" customWidth="1"/>
    <col min="6" max="6" width="6.42578125" style="2" customWidth="1"/>
    <col min="7" max="7" width="12.140625" style="2" customWidth="1"/>
    <col min="8" max="8" width="12.7109375" style="2" customWidth="1"/>
    <col min="9" max="9" width="12.5703125" style="2" customWidth="1"/>
    <col min="10" max="10" width="13.28515625" style="2" customWidth="1"/>
    <col min="11" max="11" width="14.42578125" style="2" customWidth="1"/>
    <col min="12" max="13" width="12.85546875" style="2" customWidth="1"/>
    <col min="14" max="14" width="14" style="2" customWidth="1"/>
    <col min="15" max="15" width="12.42578125" style="2" customWidth="1"/>
    <col min="16" max="16" width="12.7109375" style="2" customWidth="1"/>
    <col min="17" max="16384" width="11.42578125" style="2"/>
  </cols>
  <sheetData>
    <row r="1" spans="1:19" x14ac:dyDescent="0.2">
      <c r="A1" s="13" t="s">
        <v>0</v>
      </c>
      <c r="B1" s="13"/>
      <c r="C1" s="105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9" x14ac:dyDescent="0.2">
      <c r="A2" s="13" t="s">
        <v>261</v>
      </c>
      <c r="B2" s="13"/>
      <c r="C2" s="105"/>
      <c r="D2" s="14"/>
      <c r="E2" s="14"/>
      <c r="F2" s="14"/>
      <c r="G2" s="15"/>
      <c r="H2" s="15"/>
      <c r="I2" s="14"/>
      <c r="J2" s="14"/>
      <c r="K2" s="14"/>
      <c r="L2" s="14"/>
      <c r="M2" s="14"/>
      <c r="N2" s="14"/>
      <c r="O2" s="14"/>
      <c r="P2" s="14"/>
    </row>
    <row r="3" spans="1:19" x14ac:dyDescent="0.2">
      <c r="A3" s="13" t="s">
        <v>1</v>
      </c>
      <c r="B3" s="13"/>
      <c r="C3" s="105"/>
      <c r="D3" s="14"/>
      <c r="E3" s="14"/>
      <c r="F3" s="14"/>
      <c r="G3" s="14"/>
      <c r="H3" s="14"/>
      <c r="I3" s="14"/>
      <c r="J3" s="14"/>
      <c r="K3" s="14"/>
      <c r="L3" s="15"/>
      <c r="M3" s="14"/>
      <c r="N3" s="14"/>
      <c r="O3" s="14"/>
      <c r="P3" s="14"/>
    </row>
    <row r="4" spans="1:19" x14ac:dyDescent="0.2">
      <c r="A4" s="13" t="s">
        <v>2</v>
      </c>
      <c r="B4" s="13"/>
      <c r="C4" s="105"/>
      <c r="D4" s="14"/>
      <c r="E4" s="14"/>
      <c r="F4" s="14"/>
      <c r="G4" s="14"/>
      <c r="H4" s="14"/>
      <c r="I4" s="14" t="s">
        <v>3</v>
      </c>
      <c r="J4" s="14"/>
      <c r="K4" s="14"/>
      <c r="L4" s="14"/>
      <c r="M4" s="14"/>
      <c r="N4" s="14"/>
      <c r="O4" s="14"/>
      <c r="P4" s="14"/>
    </row>
    <row r="5" spans="1:19" x14ac:dyDescent="0.2">
      <c r="A5" s="13" t="s">
        <v>4</v>
      </c>
      <c r="B5" s="13"/>
      <c r="C5" s="105" t="s">
        <v>3</v>
      </c>
      <c r="D5" s="14"/>
      <c r="E5" s="14"/>
      <c r="F5" s="14"/>
      <c r="G5" s="14"/>
      <c r="H5" s="13" t="s">
        <v>5</v>
      </c>
      <c r="I5" s="13"/>
      <c r="J5" s="14"/>
      <c r="K5" s="14"/>
      <c r="L5" s="14"/>
      <c r="M5" s="14"/>
      <c r="N5" s="14"/>
      <c r="O5" s="14"/>
      <c r="P5" s="14"/>
    </row>
    <row r="6" spans="1:19" s="4" customFormat="1" x14ac:dyDescent="0.2">
      <c r="A6" s="16"/>
      <c r="B6" s="17" t="s">
        <v>6</v>
      </c>
      <c r="C6" s="106"/>
      <c r="D6" s="17"/>
      <c r="E6" s="16"/>
      <c r="F6" s="17"/>
      <c r="G6" s="18"/>
      <c r="H6" s="16"/>
      <c r="I6" s="17" t="s">
        <v>237</v>
      </c>
      <c r="J6" s="17"/>
      <c r="K6" s="19"/>
      <c r="L6" s="20"/>
      <c r="M6" s="17" t="s">
        <v>7</v>
      </c>
      <c r="N6" s="17"/>
      <c r="O6" s="16" t="s">
        <v>8</v>
      </c>
      <c r="P6" s="21" t="s">
        <v>206</v>
      </c>
    </row>
    <row r="7" spans="1:19" s="4" customFormat="1" x14ac:dyDescent="0.2">
      <c r="A7" s="22" t="s">
        <v>9</v>
      </c>
      <c r="B7" s="23" t="s">
        <v>10</v>
      </c>
      <c r="C7" s="107" t="s">
        <v>11</v>
      </c>
      <c r="D7" s="23" t="s">
        <v>217</v>
      </c>
      <c r="E7" s="22" t="s">
        <v>218</v>
      </c>
      <c r="F7" s="23" t="s">
        <v>12</v>
      </c>
      <c r="G7" s="24" t="s">
        <v>216</v>
      </c>
      <c r="H7" s="22" t="s">
        <v>13</v>
      </c>
      <c r="I7" s="21" t="s">
        <v>14</v>
      </c>
      <c r="J7" s="16" t="s">
        <v>15</v>
      </c>
      <c r="K7" s="16" t="s">
        <v>16</v>
      </c>
      <c r="L7" s="22" t="s">
        <v>14</v>
      </c>
      <c r="M7" s="16" t="s">
        <v>15</v>
      </c>
      <c r="N7" s="16" t="s">
        <v>16</v>
      </c>
      <c r="O7" s="22" t="s">
        <v>17</v>
      </c>
      <c r="P7" s="25" t="s">
        <v>17</v>
      </c>
    </row>
    <row r="8" spans="1:19" s="4" customFormat="1" x14ac:dyDescent="0.2">
      <c r="A8" s="22" t="s">
        <v>18</v>
      </c>
      <c r="B8" s="23"/>
      <c r="C8" s="107"/>
      <c r="D8" s="23"/>
      <c r="E8" s="22"/>
      <c r="F8" s="23"/>
      <c r="G8" s="24"/>
      <c r="H8" s="22"/>
      <c r="I8" s="25" t="s">
        <v>19</v>
      </c>
      <c r="J8" s="22" t="s">
        <v>20</v>
      </c>
      <c r="K8" s="22"/>
      <c r="L8" s="22" t="s">
        <v>19</v>
      </c>
      <c r="M8" s="22" t="s">
        <v>20</v>
      </c>
      <c r="N8" s="22"/>
      <c r="O8" s="22" t="s">
        <v>21</v>
      </c>
      <c r="P8" s="25" t="s">
        <v>207</v>
      </c>
    </row>
    <row r="9" spans="1:19" s="4" customFormat="1" x14ac:dyDescent="0.2">
      <c r="A9" s="26"/>
      <c r="B9" s="27" t="s">
        <v>22</v>
      </c>
      <c r="C9" s="108" t="s">
        <v>23</v>
      </c>
      <c r="D9" s="27"/>
      <c r="E9" s="26"/>
      <c r="F9" s="27"/>
      <c r="G9" s="24" t="s">
        <v>3</v>
      </c>
      <c r="H9" s="26" t="s">
        <v>24</v>
      </c>
      <c r="I9" s="28" t="s">
        <v>25</v>
      </c>
      <c r="J9" s="26" t="s">
        <v>211</v>
      </c>
      <c r="K9" s="26" t="s">
        <v>26</v>
      </c>
      <c r="L9" s="26" t="s">
        <v>210</v>
      </c>
      <c r="M9" s="26" t="s">
        <v>209</v>
      </c>
      <c r="N9" s="26" t="s">
        <v>208</v>
      </c>
      <c r="O9" s="26" t="s">
        <v>212</v>
      </c>
      <c r="P9" s="28" t="s">
        <v>213</v>
      </c>
    </row>
    <row r="10" spans="1:19" s="1" customFormat="1" x14ac:dyDescent="0.2">
      <c r="A10" s="29" t="s">
        <v>214</v>
      </c>
      <c r="B10" s="30" t="s">
        <v>215</v>
      </c>
      <c r="C10" s="109">
        <f>(C11+C133)</f>
        <v>9800000000</v>
      </c>
      <c r="D10" s="129">
        <f>SUM(D12:D141)</f>
        <v>1403433248</v>
      </c>
      <c r="E10" s="129">
        <f>SUM(E12:E141)</f>
        <v>1403433248</v>
      </c>
      <c r="F10" s="33">
        <v>0</v>
      </c>
      <c r="G10" s="32">
        <f>SUM(G12:G141)</f>
        <v>6461383066.9300003</v>
      </c>
      <c r="H10" s="34">
        <f>(H11+H133)</f>
        <v>16312816314.93</v>
      </c>
      <c r="I10" s="31">
        <f>(I11+I133)</f>
        <v>13426074576</v>
      </c>
      <c r="J10" s="31">
        <f>(J11+J133)</f>
        <v>3209799257</v>
      </c>
      <c r="K10" s="35">
        <f>(I10+J10)</f>
        <v>16635873833</v>
      </c>
      <c r="L10" s="31">
        <f>(L11+L133)</f>
        <v>5600475409</v>
      </c>
      <c r="M10" s="31">
        <f>(M11+M133)</f>
        <v>224899187</v>
      </c>
      <c r="N10" s="36">
        <f t="shared" ref="N10:N15" si="0">(L10+M10)</f>
        <v>5825374596</v>
      </c>
      <c r="O10" s="36">
        <f t="shared" ref="O10:O85" si="1">(H10-K10)</f>
        <v>-323057518.06999969</v>
      </c>
      <c r="P10" s="37">
        <f>(K10-N10)</f>
        <v>10810499237</v>
      </c>
    </row>
    <row r="11" spans="1:19" s="1" customFormat="1" x14ac:dyDescent="0.2">
      <c r="A11" s="38" t="s">
        <v>27</v>
      </c>
      <c r="B11" s="39" t="s">
        <v>28</v>
      </c>
      <c r="C11" s="110">
        <f>(C12+C85+C118+C125)</f>
        <v>9800000000</v>
      </c>
      <c r="D11" s="40">
        <v>0</v>
      </c>
      <c r="E11" s="41">
        <v>0</v>
      </c>
      <c r="F11" s="40">
        <v>0</v>
      </c>
      <c r="G11" s="40">
        <v>0</v>
      </c>
      <c r="H11" s="34">
        <f>(H12+H85+H118+H125)</f>
        <v>13458460445</v>
      </c>
      <c r="I11" s="34">
        <f>(I12+I85+I118+I125)</f>
        <v>11428026606</v>
      </c>
      <c r="J11" s="34">
        <f>(J12+J85+J118+J125)</f>
        <v>2528839388</v>
      </c>
      <c r="K11" s="43">
        <f>SUM(I11+J11)</f>
        <v>13956865994</v>
      </c>
      <c r="L11" s="34">
        <f>(L12+L85+L118+L125)</f>
        <v>4777345665</v>
      </c>
      <c r="M11" s="34">
        <f>(M12+M85+M118+M125)</f>
        <v>164662900</v>
      </c>
      <c r="N11" s="36">
        <f t="shared" si="0"/>
        <v>4942008565</v>
      </c>
      <c r="O11" s="36">
        <f t="shared" si="1"/>
        <v>-498405549</v>
      </c>
      <c r="P11" s="44">
        <f>(P12+P45+P85+P118+P125)</f>
        <v>9547507973</v>
      </c>
    </row>
    <row r="12" spans="1:19" s="1" customFormat="1" x14ac:dyDescent="0.2">
      <c r="A12" s="38" t="s">
        <v>29</v>
      </c>
      <c r="B12" s="39" t="s">
        <v>30</v>
      </c>
      <c r="C12" s="110">
        <f>(C13+C45)</f>
        <v>5778807783</v>
      </c>
      <c r="D12" s="40">
        <v>0</v>
      </c>
      <c r="E12" s="41">
        <v>0</v>
      </c>
      <c r="F12" s="40">
        <v>0</v>
      </c>
      <c r="G12" s="40">
        <v>0</v>
      </c>
      <c r="H12" s="34">
        <f>(H13+H45)</f>
        <v>7520591166</v>
      </c>
      <c r="I12" s="34">
        <f>(I13+I45)</f>
        <v>6382514834</v>
      </c>
      <c r="J12" s="34">
        <f>(J13+J45)</f>
        <v>1721777726</v>
      </c>
      <c r="K12" s="43">
        <f>SUM(I12+J12)</f>
        <v>8104292560</v>
      </c>
      <c r="L12" s="34">
        <f>(L13+L45)</f>
        <v>2901904003</v>
      </c>
      <c r="M12" s="34">
        <f>(M13+M45)</f>
        <v>93675396</v>
      </c>
      <c r="N12" s="36">
        <f t="shared" si="0"/>
        <v>2995579399</v>
      </c>
      <c r="O12" s="36">
        <f t="shared" si="1"/>
        <v>-583701394</v>
      </c>
      <c r="P12" s="44">
        <f>(P13+P26+P32+P40)</f>
        <v>1175232965</v>
      </c>
    </row>
    <row r="13" spans="1:19" s="1" customFormat="1" x14ac:dyDescent="0.2">
      <c r="A13" s="38" t="s">
        <v>31</v>
      </c>
      <c r="B13" s="39" t="s">
        <v>32</v>
      </c>
      <c r="C13" s="110">
        <f>C14+C26+C32+C40</f>
        <v>1649303013</v>
      </c>
      <c r="D13" s="40">
        <v>0</v>
      </c>
      <c r="E13" s="41">
        <v>0</v>
      </c>
      <c r="F13" s="40">
        <v>0</v>
      </c>
      <c r="G13" s="40">
        <v>0</v>
      </c>
      <c r="H13" s="34">
        <f>H14+H26+H32+H40</f>
        <v>1649303013</v>
      </c>
      <c r="I13" s="34">
        <f>I14+I26+I32+I40</f>
        <v>1417488624</v>
      </c>
      <c r="J13" s="34">
        <f>J14+J26+J32+J40</f>
        <v>94550280</v>
      </c>
      <c r="K13" s="43">
        <f>SUM(I13+J13)</f>
        <v>1512038904</v>
      </c>
      <c r="L13" s="34">
        <f>L14+L26+L32+L40</f>
        <v>864197036</v>
      </c>
      <c r="M13" s="34">
        <f>M14+M26+M32+M40</f>
        <v>5259447</v>
      </c>
      <c r="N13" s="36">
        <f t="shared" si="0"/>
        <v>869456483</v>
      </c>
      <c r="O13" s="36">
        <f t="shared" si="1"/>
        <v>137264109</v>
      </c>
      <c r="P13" s="44">
        <f t="shared" ref="P13:P86" si="2">(K13-N13)</f>
        <v>642582421</v>
      </c>
    </row>
    <row r="14" spans="1:19" s="1" customFormat="1" x14ac:dyDescent="0.2">
      <c r="A14" s="38" t="s">
        <v>33</v>
      </c>
      <c r="B14" s="39" t="s">
        <v>34</v>
      </c>
      <c r="C14" s="111">
        <f>SUM(C15+C16)</f>
        <v>269538053</v>
      </c>
      <c r="D14" s="40">
        <v>0</v>
      </c>
      <c r="E14" s="41">
        <v>0</v>
      </c>
      <c r="F14" s="40">
        <v>0</v>
      </c>
      <c r="G14" s="40">
        <v>0</v>
      </c>
      <c r="H14" s="43">
        <f>SUM(H15+H16)</f>
        <v>269538053</v>
      </c>
      <c r="I14" s="43">
        <f>SUM(I15+I16)</f>
        <v>161364908</v>
      </c>
      <c r="J14" s="43">
        <f>SUM(J15+J16)</f>
        <v>67129798</v>
      </c>
      <c r="K14" s="43">
        <f>SUM(I14+J14)</f>
        <v>228494706</v>
      </c>
      <c r="L14" s="43">
        <f>SUM(L15+L16)</f>
        <v>108980828</v>
      </c>
      <c r="M14" s="43">
        <f>SUM(M15+M16)</f>
        <v>0</v>
      </c>
      <c r="N14" s="36">
        <f t="shared" si="0"/>
        <v>108980828</v>
      </c>
      <c r="O14" s="36">
        <f t="shared" si="1"/>
        <v>41043347</v>
      </c>
      <c r="P14" s="44">
        <f t="shared" si="2"/>
        <v>119513878</v>
      </c>
    </row>
    <row r="15" spans="1:19" x14ac:dyDescent="0.2">
      <c r="A15" s="46" t="s">
        <v>35</v>
      </c>
      <c r="B15" s="47" t="s">
        <v>36</v>
      </c>
      <c r="C15" s="112">
        <v>201869928</v>
      </c>
      <c r="D15" s="49">
        <v>0</v>
      </c>
      <c r="E15" s="50">
        <v>0</v>
      </c>
      <c r="F15" s="49">
        <v>0</v>
      </c>
      <c r="G15" s="49">
        <v>0</v>
      </c>
      <c r="H15" s="36">
        <f>(C15+G15)</f>
        <v>201869928</v>
      </c>
      <c r="I15" s="36">
        <v>148264612</v>
      </c>
      <c r="J15" s="52">
        <v>46305738</v>
      </c>
      <c r="K15" s="48">
        <f>(I15+J15)</f>
        <v>194570350</v>
      </c>
      <c r="L15" s="36">
        <v>97042929</v>
      </c>
      <c r="M15" s="36">
        <v>0</v>
      </c>
      <c r="N15" s="36">
        <f t="shared" si="0"/>
        <v>97042929</v>
      </c>
      <c r="O15" s="36">
        <f t="shared" si="1"/>
        <v>7299578</v>
      </c>
      <c r="P15" s="53">
        <f t="shared" si="2"/>
        <v>97527421</v>
      </c>
    </row>
    <row r="16" spans="1:19" s="1" customFormat="1" x14ac:dyDescent="0.2">
      <c r="A16" s="38" t="s">
        <v>37</v>
      </c>
      <c r="B16" s="39" t="s">
        <v>38</v>
      </c>
      <c r="C16" s="110">
        <f>(C17+C18+C19+C20+C21+C22+C23+C24+C25)</f>
        <v>67668125</v>
      </c>
      <c r="D16" s="40">
        <v>0</v>
      </c>
      <c r="E16" s="41">
        <v>0</v>
      </c>
      <c r="F16" s="40">
        <v>0</v>
      </c>
      <c r="G16" s="40">
        <v>0</v>
      </c>
      <c r="H16" s="34">
        <f>(H17+H18+H19+H20+H21+H22+H23+H24+H25)</f>
        <v>67668125</v>
      </c>
      <c r="I16" s="34">
        <f>(I17+I18+I19+I20+I21+I22+I23+I24+I25)</f>
        <v>13100296</v>
      </c>
      <c r="J16" s="54">
        <f>(J17+J18+J19+J20+J21+J22+J23+J24+J25)</f>
        <v>20824060</v>
      </c>
      <c r="K16" s="43">
        <f>(I16+J16)</f>
        <v>33924356</v>
      </c>
      <c r="L16" s="34">
        <f>(L17+L18+L19+L20+L21+L22+L23+L24+L25)</f>
        <v>11937899</v>
      </c>
      <c r="M16" s="42">
        <f>(M17+M18+M19+M20+M21+M22+M23+M24+M25)</f>
        <v>0</v>
      </c>
      <c r="N16" s="34">
        <f>(N17+N18+N19+N20+N21+N22+N23+N24+N25)</f>
        <v>11937899</v>
      </c>
      <c r="O16" s="34">
        <f t="shared" si="1"/>
        <v>33743769</v>
      </c>
      <c r="P16" s="55">
        <f t="shared" si="2"/>
        <v>21986457</v>
      </c>
      <c r="S16" s="5"/>
    </row>
    <row r="17" spans="1:18" x14ac:dyDescent="0.2">
      <c r="A17" s="46" t="s">
        <v>39</v>
      </c>
      <c r="B17" s="47" t="s">
        <v>40</v>
      </c>
      <c r="C17" s="125">
        <v>21070868</v>
      </c>
      <c r="D17" s="49">
        <v>0</v>
      </c>
      <c r="E17" s="50">
        <v>0</v>
      </c>
      <c r="F17" s="49">
        <v>0</v>
      </c>
      <c r="G17" s="49">
        <v>0</v>
      </c>
      <c r="H17" s="67">
        <f>(C17+G17)</f>
        <v>21070868</v>
      </c>
      <c r="I17" s="36">
        <v>0</v>
      </c>
      <c r="J17" s="57">
        <v>19363435</v>
      </c>
      <c r="K17" s="43">
        <f>(I17+J17)</f>
        <v>19363435</v>
      </c>
      <c r="L17" s="58">
        <v>0</v>
      </c>
      <c r="M17" s="58">
        <v>0</v>
      </c>
      <c r="N17" s="51">
        <f t="shared" ref="N17:N23" si="3">+L17+M17</f>
        <v>0</v>
      </c>
      <c r="O17" s="36">
        <f t="shared" si="1"/>
        <v>1707433</v>
      </c>
      <c r="P17" s="59">
        <f t="shared" si="2"/>
        <v>19363435</v>
      </c>
    </row>
    <row r="18" spans="1:18" x14ac:dyDescent="0.2">
      <c r="A18" s="46" t="s">
        <v>41</v>
      </c>
      <c r="B18" s="47" t="s">
        <v>42</v>
      </c>
      <c r="C18" s="112">
        <v>1095345</v>
      </c>
      <c r="D18" s="49">
        <v>0</v>
      </c>
      <c r="E18" s="50">
        <v>0</v>
      </c>
      <c r="F18" s="49">
        <v>0</v>
      </c>
      <c r="G18" s="49">
        <v>0</v>
      </c>
      <c r="H18" s="67">
        <f t="shared" ref="H18:H25" si="4">(C18+G18)</f>
        <v>1095345</v>
      </c>
      <c r="I18" s="36">
        <v>865569</v>
      </c>
      <c r="J18" s="52">
        <v>0</v>
      </c>
      <c r="K18" s="43">
        <f t="shared" ref="K18:K25" si="5">(I18+J18)</f>
        <v>865569</v>
      </c>
      <c r="L18" s="58">
        <v>579416</v>
      </c>
      <c r="M18" s="58">
        <v>0</v>
      </c>
      <c r="N18" s="51">
        <f t="shared" si="3"/>
        <v>579416</v>
      </c>
      <c r="O18" s="36">
        <f t="shared" si="1"/>
        <v>229776</v>
      </c>
      <c r="P18" s="59">
        <f t="shared" si="2"/>
        <v>286153</v>
      </c>
      <c r="R18" s="3"/>
    </row>
    <row r="19" spans="1:18" x14ac:dyDescent="0.2">
      <c r="A19" s="46" t="s">
        <v>43</v>
      </c>
      <c r="B19" s="47" t="s">
        <v>44</v>
      </c>
      <c r="C19" s="112">
        <v>15018745</v>
      </c>
      <c r="D19" s="49">
        <v>0</v>
      </c>
      <c r="E19" s="50">
        <v>0</v>
      </c>
      <c r="F19" s="49">
        <v>0</v>
      </c>
      <c r="G19" s="49">
        <v>0</v>
      </c>
      <c r="H19" s="67">
        <f t="shared" si="4"/>
        <v>15018745</v>
      </c>
      <c r="I19" s="36">
        <v>2355110</v>
      </c>
      <c r="J19" s="52">
        <v>970690</v>
      </c>
      <c r="K19" s="43">
        <f t="shared" si="5"/>
        <v>3325800</v>
      </c>
      <c r="L19" s="58">
        <v>1575250</v>
      </c>
      <c r="M19" s="58">
        <v>0</v>
      </c>
      <c r="N19" s="51">
        <f t="shared" si="3"/>
        <v>1575250</v>
      </c>
      <c r="O19" s="36">
        <f t="shared" si="1"/>
        <v>11692945</v>
      </c>
      <c r="P19" s="59">
        <f t="shared" si="2"/>
        <v>1750550</v>
      </c>
    </row>
    <row r="20" spans="1:18" x14ac:dyDescent="0.2">
      <c r="A20" s="46" t="s">
        <v>45</v>
      </c>
      <c r="B20" s="47" t="s">
        <v>46</v>
      </c>
      <c r="C20" s="112">
        <v>1121450</v>
      </c>
      <c r="D20" s="49">
        <v>0</v>
      </c>
      <c r="E20" s="50">
        <v>0</v>
      </c>
      <c r="F20" s="49">
        <v>0</v>
      </c>
      <c r="G20" s="49">
        <v>0</v>
      </c>
      <c r="H20" s="67">
        <f t="shared" si="4"/>
        <v>1121450</v>
      </c>
      <c r="I20" s="36">
        <v>367057</v>
      </c>
      <c r="J20" s="52">
        <v>77063</v>
      </c>
      <c r="K20" s="43">
        <f t="shared" si="5"/>
        <v>444120</v>
      </c>
      <c r="L20" s="58">
        <v>270673</v>
      </c>
      <c r="M20" s="58">
        <v>0</v>
      </c>
      <c r="N20" s="51">
        <f t="shared" si="3"/>
        <v>270673</v>
      </c>
      <c r="O20" s="36">
        <f t="shared" si="1"/>
        <v>677330</v>
      </c>
      <c r="P20" s="59">
        <f t="shared" si="2"/>
        <v>173447</v>
      </c>
      <c r="R20" s="3"/>
    </row>
    <row r="21" spans="1:18" x14ac:dyDescent="0.2">
      <c r="A21" s="46" t="s">
        <v>47</v>
      </c>
      <c r="B21" s="47" t="s">
        <v>48</v>
      </c>
      <c r="C21" s="112">
        <v>11093469</v>
      </c>
      <c r="D21" s="49">
        <v>0</v>
      </c>
      <c r="E21" s="50">
        <v>0</v>
      </c>
      <c r="F21" s="49">
        <v>0</v>
      </c>
      <c r="G21" s="49">
        <v>0</v>
      </c>
      <c r="H21" s="67">
        <f t="shared" si="4"/>
        <v>11093469</v>
      </c>
      <c r="I21" s="36">
        <v>4886272</v>
      </c>
      <c r="J21" s="52">
        <v>412872</v>
      </c>
      <c r="K21" s="45">
        <f t="shared" si="5"/>
        <v>5299144</v>
      </c>
      <c r="L21" s="58">
        <v>4886272</v>
      </c>
      <c r="M21" s="58">
        <v>0</v>
      </c>
      <c r="N21" s="51">
        <f t="shared" si="3"/>
        <v>4886272</v>
      </c>
      <c r="O21" s="36">
        <f t="shared" si="1"/>
        <v>5794325</v>
      </c>
      <c r="P21" s="59">
        <f t="shared" si="2"/>
        <v>412872</v>
      </c>
    </row>
    <row r="22" spans="1:18" x14ac:dyDescent="0.2">
      <c r="A22" s="46" t="s">
        <v>49</v>
      </c>
      <c r="B22" s="47" t="s">
        <v>50</v>
      </c>
      <c r="C22" s="112">
        <v>7168248</v>
      </c>
      <c r="D22" s="49">
        <v>0</v>
      </c>
      <c r="E22" s="50">
        <v>0</v>
      </c>
      <c r="F22" s="49">
        <v>0</v>
      </c>
      <c r="G22" s="49">
        <v>0</v>
      </c>
      <c r="H22" s="67">
        <f t="shared" si="4"/>
        <v>7168248</v>
      </c>
      <c r="I22" s="36">
        <v>1948801</v>
      </c>
      <c r="J22" s="52">
        <v>0</v>
      </c>
      <c r="K22" s="43">
        <f t="shared" si="5"/>
        <v>1948801</v>
      </c>
      <c r="L22" s="58">
        <v>1948801</v>
      </c>
      <c r="M22" s="36">
        <v>0</v>
      </c>
      <c r="N22" s="36">
        <f t="shared" si="3"/>
        <v>1948801</v>
      </c>
      <c r="O22" s="36">
        <f t="shared" si="1"/>
        <v>5219447</v>
      </c>
      <c r="P22" s="59">
        <f t="shared" si="2"/>
        <v>0</v>
      </c>
    </row>
    <row r="23" spans="1:18" x14ac:dyDescent="0.2">
      <c r="A23" s="46" t="s">
        <v>51</v>
      </c>
      <c r="B23" s="47" t="s">
        <v>52</v>
      </c>
      <c r="C23" s="112">
        <v>0</v>
      </c>
      <c r="D23" s="49">
        <v>0</v>
      </c>
      <c r="E23" s="50">
        <v>0</v>
      </c>
      <c r="F23" s="49">
        <v>0</v>
      </c>
      <c r="G23" s="49">
        <v>0</v>
      </c>
      <c r="H23" s="67">
        <f t="shared" si="4"/>
        <v>0</v>
      </c>
      <c r="I23" s="36">
        <v>0</v>
      </c>
      <c r="J23" s="57">
        <v>0</v>
      </c>
      <c r="K23" s="45">
        <f t="shared" si="5"/>
        <v>0</v>
      </c>
      <c r="L23" s="58">
        <v>0</v>
      </c>
      <c r="M23" s="58">
        <v>0</v>
      </c>
      <c r="N23" s="51">
        <f t="shared" si="3"/>
        <v>0</v>
      </c>
      <c r="O23" s="36">
        <f t="shared" si="1"/>
        <v>0</v>
      </c>
      <c r="P23" s="59">
        <f t="shared" si="2"/>
        <v>0</v>
      </c>
    </row>
    <row r="24" spans="1:18" x14ac:dyDescent="0.2">
      <c r="A24" s="46" t="s">
        <v>53</v>
      </c>
      <c r="B24" s="47" t="s">
        <v>54</v>
      </c>
      <c r="C24" s="112">
        <v>1100000</v>
      </c>
      <c r="D24" s="49">
        <v>0</v>
      </c>
      <c r="E24" s="50">
        <v>0</v>
      </c>
      <c r="F24" s="49">
        <v>0</v>
      </c>
      <c r="G24" s="49">
        <v>0</v>
      </c>
      <c r="H24" s="67">
        <f t="shared" si="4"/>
        <v>1100000</v>
      </c>
      <c r="I24" s="36">
        <v>323303</v>
      </c>
      <c r="J24" s="52">
        <v>0</v>
      </c>
      <c r="K24" s="45">
        <f t="shared" si="5"/>
        <v>323303</v>
      </c>
      <c r="L24" s="58">
        <v>323303</v>
      </c>
      <c r="M24" s="58">
        <v>0</v>
      </c>
      <c r="N24" s="51">
        <f>+L24+M24</f>
        <v>323303</v>
      </c>
      <c r="O24" s="36">
        <f t="shared" si="1"/>
        <v>776697</v>
      </c>
      <c r="P24" s="60">
        <f t="shared" si="2"/>
        <v>0</v>
      </c>
    </row>
    <row r="25" spans="1:18" x14ac:dyDescent="0.2">
      <c r="A25" s="46" t="s">
        <v>55</v>
      </c>
      <c r="B25" s="47" t="s">
        <v>56</v>
      </c>
      <c r="C25" s="112">
        <v>10000000</v>
      </c>
      <c r="D25" s="49">
        <v>0</v>
      </c>
      <c r="E25" s="50">
        <v>0</v>
      </c>
      <c r="F25" s="49">
        <v>0</v>
      </c>
      <c r="G25" s="49">
        <v>0</v>
      </c>
      <c r="H25" s="36">
        <f t="shared" si="4"/>
        <v>10000000</v>
      </c>
      <c r="I25" s="36">
        <v>2354184</v>
      </c>
      <c r="J25" s="52">
        <v>0</v>
      </c>
      <c r="K25" s="43">
        <f t="shared" si="5"/>
        <v>2354184</v>
      </c>
      <c r="L25" s="58">
        <v>2354184</v>
      </c>
      <c r="M25" s="58">
        <v>0</v>
      </c>
      <c r="N25" s="51">
        <f>+L25+M25</f>
        <v>2354184</v>
      </c>
      <c r="O25" s="36">
        <f t="shared" si="1"/>
        <v>7645816</v>
      </c>
      <c r="P25" s="59">
        <f t="shared" si="2"/>
        <v>0</v>
      </c>
    </row>
    <row r="26" spans="1:18" s="1" customFormat="1" x14ac:dyDescent="0.2">
      <c r="A26" s="38" t="s">
        <v>57</v>
      </c>
      <c r="B26" s="39" t="s">
        <v>58</v>
      </c>
      <c r="C26" s="110">
        <f>(C27+C28+C29+C31+C30)</f>
        <v>1293400000</v>
      </c>
      <c r="D26" s="40">
        <v>0</v>
      </c>
      <c r="E26" s="41">
        <v>0</v>
      </c>
      <c r="F26" s="40">
        <v>0</v>
      </c>
      <c r="G26" s="49">
        <v>0</v>
      </c>
      <c r="H26" s="34">
        <f>(H27+H28+H29+H31+H30)</f>
        <v>1293400000</v>
      </c>
      <c r="I26" s="34">
        <f t="shared" ref="I26:N26" si="6">(I27+I28+I29+I31+I30)</f>
        <v>1195351329</v>
      </c>
      <c r="J26" s="54">
        <f t="shared" si="6"/>
        <v>5933400</v>
      </c>
      <c r="K26" s="43">
        <f t="shared" si="6"/>
        <v>1201284729</v>
      </c>
      <c r="L26" s="61">
        <f t="shared" si="6"/>
        <v>719903027</v>
      </c>
      <c r="M26" s="34">
        <f t="shared" si="6"/>
        <v>0</v>
      </c>
      <c r="N26" s="34">
        <f t="shared" si="6"/>
        <v>719903027</v>
      </c>
      <c r="O26" s="34">
        <f t="shared" si="1"/>
        <v>92115271</v>
      </c>
      <c r="P26" s="62">
        <f t="shared" si="2"/>
        <v>481381702</v>
      </c>
    </row>
    <row r="27" spans="1:18" x14ac:dyDescent="0.2">
      <c r="A27" s="46" t="s">
        <v>59</v>
      </c>
      <c r="B27" s="47" t="s">
        <v>60</v>
      </c>
      <c r="C27" s="112">
        <v>950000000</v>
      </c>
      <c r="D27" s="36">
        <v>100000000</v>
      </c>
      <c r="E27" s="57">
        <v>0</v>
      </c>
      <c r="F27" s="49">
        <v>0</v>
      </c>
      <c r="G27" s="51">
        <v>0</v>
      </c>
      <c r="H27" s="36">
        <f>(C27+G27)-D27</f>
        <v>850000000</v>
      </c>
      <c r="I27" s="36">
        <v>779128697</v>
      </c>
      <c r="J27" s="63">
        <v>0</v>
      </c>
      <c r="K27" s="48">
        <f>(I27+J27)</f>
        <v>779128697</v>
      </c>
      <c r="L27" s="58">
        <v>536886977</v>
      </c>
      <c r="M27" s="36">
        <v>0</v>
      </c>
      <c r="N27" s="36">
        <f t="shared" ref="N27:N32" si="7">(L27+M27)</f>
        <v>536886977</v>
      </c>
      <c r="O27" s="36">
        <f t="shared" si="1"/>
        <v>70871303</v>
      </c>
      <c r="P27" s="59">
        <f t="shared" si="2"/>
        <v>242241720</v>
      </c>
    </row>
    <row r="28" spans="1:18" x14ac:dyDescent="0.2">
      <c r="A28" s="46" t="s">
        <v>61</v>
      </c>
      <c r="B28" s="47" t="s">
        <v>62</v>
      </c>
      <c r="C28" s="112">
        <v>3400000</v>
      </c>
      <c r="D28" s="49">
        <v>0</v>
      </c>
      <c r="E28" s="57">
        <v>0</v>
      </c>
      <c r="F28" s="49">
        <v>0</v>
      </c>
      <c r="G28" s="49">
        <v>0</v>
      </c>
      <c r="H28" s="36">
        <f>(C28+G28)</f>
        <v>3400000</v>
      </c>
      <c r="I28" s="36">
        <v>3400000</v>
      </c>
      <c r="J28" s="52">
        <v>0</v>
      </c>
      <c r="K28" s="64">
        <f>(I28+J28)</f>
        <v>3400000</v>
      </c>
      <c r="L28" s="58">
        <v>3400000</v>
      </c>
      <c r="M28" s="36">
        <v>0</v>
      </c>
      <c r="N28" s="51">
        <f t="shared" si="7"/>
        <v>3400000</v>
      </c>
      <c r="O28" s="36">
        <f t="shared" si="1"/>
        <v>0</v>
      </c>
      <c r="P28" s="59">
        <f t="shared" si="2"/>
        <v>0</v>
      </c>
    </row>
    <row r="29" spans="1:18" x14ac:dyDescent="0.2">
      <c r="A29" s="46" t="s">
        <v>63</v>
      </c>
      <c r="B29" s="47" t="s">
        <v>64</v>
      </c>
      <c r="C29" s="112">
        <v>20000000</v>
      </c>
      <c r="D29" s="49">
        <v>0</v>
      </c>
      <c r="E29" s="50">
        <v>0</v>
      </c>
      <c r="F29" s="49">
        <v>0</v>
      </c>
      <c r="G29" s="49">
        <v>0</v>
      </c>
      <c r="H29" s="36">
        <f>(C29+G29)</f>
        <v>20000000</v>
      </c>
      <c r="I29" s="36">
        <v>2550650</v>
      </c>
      <c r="J29" s="52">
        <v>1133400</v>
      </c>
      <c r="K29" s="48">
        <f>(I29+J29)</f>
        <v>3684050</v>
      </c>
      <c r="L29" s="58">
        <v>1416050</v>
      </c>
      <c r="M29" s="36">
        <v>0</v>
      </c>
      <c r="N29" s="51">
        <f t="shared" si="7"/>
        <v>1416050</v>
      </c>
      <c r="O29" s="36">
        <f t="shared" si="1"/>
        <v>16315950</v>
      </c>
      <c r="P29" s="59">
        <f t="shared" si="2"/>
        <v>2268000</v>
      </c>
    </row>
    <row r="30" spans="1:18" x14ac:dyDescent="0.2">
      <c r="A30" s="46" t="s">
        <v>219</v>
      </c>
      <c r="B30" s="47" t="s">
        <v>220</v>
      </c>
      <c r="C30" s="112">
        <v>0</v>
      </c>
      <c r="D30" s="49">
        <v>0</v>
      </c>
      <c r="E30" s="50">
        <v>0</v>
      </c>
      <c r="F30" s="49">
        <v>0</v>
      </c>
      <c r="G30" s="51">
        <v>0</v>
      </c>
      <c r="H30" s="36">
        <f>(C30+G30)</f>
        <v>0</v>
      </c>
      <c r="I30" s="36">
        <v>0</v>
      </c>
      <c r="J30" s="65">
        <v>0</v>
      </c>
      <c r="K30" s="64">
        <f>(I30+J30)</f>
        <v>0</v>
      </c>
      <c r="L30" s="58">
        <v>0</v>
      </c>
      <c r="M30" s="51">
        <v>0</v>
      </c>
      <c r="N30" s="51">
        <f t="shared" si="7"/>
        <v>0</v>
      </c>
      <c r="O30" s="36">
        <v>0</v>
      </c>
      <c r="P30" s="59">
        <v>0</v>
      </c>
    </row>
    <row r="31" spans="1:18" x14ac:dyDescent="0.2">
      <c r="A31" s="46" t="s">
        <v>65</v>
      </c>
      <c r="B31" s="47" t="s">
        <v>66</v>
      </c>
      <c r="C31" s="112">
        <v>320000000</v>
      </c>
      <c r="D31" s="67">
        <v>150000000</v>
      </c>
      <c r="E31" s="134">
        <v>150000000</v>
      </c>
      <c r="F31" s="49">
        <v>0</v>
      </c>
      <c r="G31" s="36">
        <v>100000000</v>
      </c>
      <c r="H31" s="36">
        <f>(C31+G31)+E31-D31</f>
        <v>420000000</v>
      </c>
      <c r="I31" s="36">
        <v>410271982</v>
      </c>
      <c r="J31" s="52">
        <v>4800000</v>
      </c>
      <c r="K31" s="48">
        <f>(I31+J31)</f>
        <v>415071982</v>
      </c>
      <c r="L31" s="36">
        <v>178200000</v>
      </c>
      <c r="M31" s="36">
        <v>0</v>
      </c>
      <c r="N31" s="36">
        <f t="shared" si="7"/>
        <v>178200000</v>
      </c>
      <c r="O31" s="36">
        <f t="shared" si="1"/>
        <v>4928018</v>
      </c>
      <c r="P31" s="59">
        <f t="shared" si="2"/>
        <v>236871982</v>
      </c>
    </row>
    <row r="32" spans="1:18" s="1" customFormat="1" x14ac:dyDescent="0.2">
      <c r="A32" s="38" t="s">
        <v>67</v>
      </c>
      <c r="B32" s="39" t="s">
        <v>68</v>
      </c>
      <c r="C32" s="111">
        <f>SUM(C33+C38)</f>
        <v>75745491</v>
      </c>
      <c r="D32" s="40">
        <v>0</v>
      </c>
      <c r="E32" s="41">
        <v>0</v>
      </c>
      <c r="F32" s="40">
        <v>0</v>
      </c>
      <c r="G32" s="40">
        <v>0</v>
      </c>
      <c r="H32" s="34">
        <f t="shared" ref="H32:J32" si="8">(H33+H38)</f>
        <v>75745491</v>
      </c>
      <c r="I32" s="34">
        <f t="shared" si="8"/>
        <v>53505673</v>
      </c>
      <c r="J32" s="66">
        <f t="shared" si="8"/>
        <v>19171795</v>
      </c>
      <c r="K32" s="34">
        <f>(K33+K38+K42)</f>
        <v>82259469</v>
      </c>
      <c r="L32" s="34">
        <f>(L33+L38+L42)</f>
        <v>35313181</v>
      </c>
      <c r="M32" s="34">
        <f>(M33+M38+M42)</f>
        <v>5259447</v>
      </c>
      <c r="N32" s="36">
        <f t="shared" si="7"/>
        <v>40572628</v>
      </c>
      <c r="O32" s="34">
        <f>(H32-K32)</f>
        <v>-6513978</v>
      </c>
      <c r="P32" s="62">
        <f t="shared" si="2"/>
        <v>41686841</v>
      </c>
    </row>
    <row r="33" spans="1:16" s="1" customFormat="1" x14ac:dyDescent="0.2">
      <c r="A33" s="38" t="s">
        <v>69</v>
      </c>
      <c r="B33" s="39" t="s">
        <v>70</v>
      </c>
      <c r="C33" s="111">
        <f>SUM(C34:C37)</f>
        <v>66195822</v>
      </c>
      <c r="D33" s="40">
        <v>0</v>
      </c>
      <c r="E33" s="41">
        <v>0</v>
      </c>
      <c r="F33" s="40">
        <v>0</v>
      </c>
      <c r="G33" s="40">
        <v>0</v>
      </c>
      <c r="H33" s="34">
        <f t="shared" ref="H33:N33" si="9">(H34+H35+H36+H37)</f>
        <v>66195822</v>
      </c>
      <c r="I33" s="34">
        <f t="shared" si="9"/>
        <v>48876256</v>
      </c>
      <c r="J33" s="66">
        <f t="shared" si="9"/>
        <v>17319566</v>
      </c>
      <c r="K33" s="45">
        <f t="shared" si="9"/>
        <v>66195822</v>
      </c>
      <c r="L33" s="34">
        <f>(L34+L35+L36+L37)</f>
        <v>33097912</v>
      </c>
      <c r="M33" s="42">
        <f t="shared" si="9"/>
        <v>5259447</v>
      </c>
      <c r="N33" s="42">
        <f t="shared" si="9"/>
        <v>38357359</v>
      </c>
      <c r="O33" s="34">
        <f t="shared" si="1"/>
        <v>0</v>
      </c>
      <c r="P33" s="62">
        <f t="shared" si="2"/>
        <v>27838463</v>
      </c>
    </row>
    <row r="34" spans="1:16" x14ac:dyDescent="0.2">
      <c r="A34" s="46" t="s">
        <v>71</v>
      </c>
      <c r="B34" s="47" t="s">
        <v>72</v>
      </c>
      <c r="C34" s="112">
        <v>17158944</v>
      </c>
      <c r="D34" s="49">
        <v>0</v>
      </c>
      <c r="E34" s="50">
        <v>0</v>
      </c>
      <c r="F34" s="49">
        <v>0</v>
      </c>
      <c r="G34" s="49">
        <v>0</v>
      </c>
      <c r="H34" s="36">
        <f>(C34+G34)</f>
        <v>17158944</v>
      </c>
      <c r="I34" s="67">
        <v>12869208</v>
      </c>
      <c r="J34" s="65">
        <v>4289736</v>
      </c>
      <c r="K34" s="140">
        <f t="shared" ref="K34:K44" si="10">(I34+J34)</f>
        <v>17158944</v>
      </c>
      <c r="L34" s="36">
        <v>8579472</v>
      </c>
      <c r="M34" s="36">
        <v>1429912</v>
      </c>
      <c r="N34" s="131">
        <f t="shared" ref="N34:N44" si="11">(L34+M34)</f>
        <v>10009384</v>
      </c>
      <c r="O34" s="36">
        <f t="shared" si="1"/>
        <v>0</v>
      </c>
      <c r="P34" s="59">
        <f t="shared" si="2"/>
        <v>7149560</v>
      </c>
    </row>
    <row r="35" spans="1:16" x14ac:dyDescent="0.2">
      <c r="A35" s="46" t="s">
        <v>73</v>
      </c>
      <c r="B35" s="47" t="s">
        <v>74</v>
      </c>
      <c r="C35" s="112">
        <v>24224391</v>
      </c>
      <c r="D35" s="49">
        <v>0</v>
      </c>
      <c r="E35" s="50">
        <v>0</v>
      </c>
      <c r="F35" s="49">
        <v>0</v>
      </c>
      <c r="G35" s="49">
        <v>0</v>
      </c>
      <c r="H35" s="36">
        <f>(C35+G35)</f>
        <v>24224391</v>
      </c>
      <c r="I35" s="36">
        <v>18168294</v>
      </c>
      <c r="J35" s="65">
        <v>6056097</v>
      </c>
      <c r="K35" s="140">
        <f t="shared" si="10"/>
        <v>24224391</v>
      </c>
      <c r="L35" s="36">
        <v>12112196</v>
      </c>
      <c r="M35" s="36">
        <v>2018699</v>
      </c>
      <c r="N35" s="131">
        <f t="shared" si="11"/>
        <v>14130895</v>
      </c>
      <c r="O35" s="36">
        <f t="shared" si="1"/>
        <v>0</v>
      </c>
      <c r="P35" s="59">
        <f t="shared" si="2"/>
        <v>10093496</v>
      </c>
    </row>
    <row r="36" spans="1:16" x14ac:dyDescent="0.2">
      <c r="A36" s="46" t="s">
        <v>75</v>
      </c>
      <c r="B36" s="47" t="s">
        <v>76</v>
      </c>
      <c r="C36" s="112">
        <v>19894936</v>
      </c>
      <c r="D36" s="49">
        <v>0</v>
      </c>
      <c r="E36" s="50">
        <v>0</v>
      </c>
      <c r="F36" s="49">
        <v>0</v>
      </c>
      <c r="G36" s="49">
        <v>0</v>
      </c>
      <c r="H36" s="36">
        <f>(C36+G36)</f>
        <v>19894936</v>
      </c>
      <c r="I36" s="36">
        <v>14921202</v>
      </c>
      <c r="J36" s="65">
        <v>4973734</v>
      </c>
      <c r="K36" s="140">
        <f t="shared" si="10"/>
        <v>19894936</v>
      </c>
      <c r="L36" s="36">
        <v>9947468</v>
      </c>
      <c r="M36" s="36">
        <v>1657911</v>
      </c>
      <c r="N36" s="131">
        <f t="shared" si="11"/>
        <v>11605379</v>
      </c>
      <c r="O36" s="36">
        <f t="shared" si="1"/>
        <v>0</v>
      </c>
      <c r="P36" s="59">
        <f t="shared" si="2"/>
        <v>8289557</v>
      </c>
    </row>
    <row r="37" spans="1:16" x14ac:dyDescent="0.2">
      <c r="A37" s="46" t="s">
        <v>77</v>
      </c>
      <c r="B37" s="47" t="s">
        <v>78</v>
      </c>
      <c r="C37" s="112">
        <v>4917551</v>
      </c>
      <c r="D37" s="49">
        <v>0</v>
      </c>
      <c r="E37" s="50">
        <v>0</v>
      </c>
      <c r="F37" s="49">
        <v>0</v>
      </c>
      <c r="G37" s="49">
        <v>0</v>
      </c>
      <c r="H37" s="36">
        <f>(C37+G37)</f>
        <v>4917551</v>
      </c>
      <c r="I37" s="36">
        <v>2917552</v>
      </c>
      <c r="J37" s="65">
        <v>1999999</v>
      </c>
      <c r="K37" s="140">
        <f t="shared" si="10"/>
        <v>4917551</v>
      </c>
      <c r="L37" s="36">
        <v>2458776</v>
      </c>
      <c r="M37" s="36">
        <v>152925</v>
      </c>
      <c r="N37" s="131">
        <f t="shared" si="11"/>
        <v>2611701</v>
      </c>
      <c r="O37" s="36">
        <f t="shared" si="1"/>
        <v>0</v>
      </c>
      <c r="P37" s="59">
        <f t="shared" si="2"/>
        <v>2305850</v>
      </c>
    </row>
    <row r="38" spans="1:16" s="1" customFormat="1" x14ac:dyDescent="0.2">
      <c r="A38" s="38" t="s">
        <v>79</v>
      </c>
      <c r="B38" s="39" t="s">
        <v>80</v>
      </c>
      <c r="C38" s="111">
        <f>+C39</f>
        <v>9549669</v>
      </c>
      <c r="D38" s="40">
        <v>0</v>
      </c>
      <c r="E38" s="41">
        <v>0</v>
      </c>
      <c r="F38" s="40">
        <v>0</v>
      </c>
      <c r="G38" s="40">
        <v>0</v>
      </c>
      <c r="H38" s="43">
        <f>+H39</f>
        <v>9549669</v>
      </c>
      <c r="I38" s="34">
        <f>(I39)</f>
        <v>4629417</v>
      </c>
      <c r="J38" s="66">
        <f>J39</f>
        <v>1852229</v>
      </c>
      <c r="K38" s="45">
        <f t="shared" si="10"/>
        <v>6481646</v>
      </c>
      <c r="L38" s="61">
        <f>(L39)</f>
        <v>2215269</v>
      </c>
      <c r="M38" s="61">
        <f>(M39)</f>
        <v>0</v>
      </c>
      <c r="N38" s="42">
        <f t="shared" si="11"/>
        <v>2215269</v>
      </c>
      <c r="O38" s="34">
        <f t="shared" si="1"/>
        <v>3068023</v>
      </c>
      <c r="P38" s="55">
        <f t="shared" si="2"/>
        <v>4266377</v>
      </c>
    </row>
    <row r="39" spans="1:16" x14ac:dyDescent="0.2">
      <c r="A39" s="46" t="s">
        <v>81</v>
      </c>
      <c r="B39" s="47" t="s">
        <v>82</v>
      </c>
      <c r="C39" s="112">
        <v>9549669</v>
      </c>
      <c r="D39" s="49">
        <v>0</v>
      </c>
      <c r="E39" s="50">
        <v>0</v>
      </c>
      <c r="F39" s="49">
        <v>0</v>
      </c>
      <c r="G39" s="49">
        <v>0</v>
      </c>
      <c r="H39" s="67">
        <f t="shared" ref="H39:H44" si="12">(C39+G39)</f>
        <v>9549669</v>
      </c>
      <c r="I39" s="36">
        <v>4629417</v>
      </c>
      <c r="J39" s="65">
        <v>1852229</v>
      </c>
      <c r="K39" s="64">
        <f t="shared" si="10"/>
        <v>6481646</v>
      </c>
      <c r="L39" s="58">
        <v>2215269</v>
      </c>
      <c r="M39" s="58">
        <v>0</v>
      </c>
      <c r="N39" s="51">
        <f t="shared" si="11"/>
        <v>2215269</v>
      </c>
      <c r="O39" s="36">
        <f t="shared" si="1"/>
        <v>3068023</v>
      </c>
      <c r="P39" s="60">
        <f t="shared" si="2"/>
        <v>4266377</v>
      </c>
    </row>
    <row r="40" spans="1:16" s="1" customFormat="1" x14ac:dyDescent="0.2">
      <c r="A40" s="38" t="s">
        <v>83</v>
      </c>
      <c r="B40" s="39" t="s">
        <v>84</v>
      </c>
      <c r="C40" s="111">
        <f>SUM(C41+C42)</f>
        <v>10619469</v>
      </c>
      <c r="D40" s="40">
        <v>0</v>
      </c>
      <c r="E40" s="41">
        <v>0</v>
      </c>
      <c r="F40" s="40">
        <v>0</v>
      </c>
      <c r="G40" s="40">
        <v>0</v>
      </c>
      <c r="H40" s="67">
        <f t="shared" si="12"/>
        <v>10619469</v>
      </c>
      <c r="I40" s="34">
        <f>SUM(I41+I42)</f>
        <v>7266714</v>
      </c>
      <c r="J40" s="42">
        <f>SUM(J41+J42)</f>
        <v>2315287</v>
      </c>
      <c r="K40" s="64">
        <f t="shared" si="10"/>
        <v>9582001</v>
      </c>
      <c r="L40" s="61">
        <f>SUM(L41+L42)</f>
        <v>0</v>
      </c>
      <c r="M40" s="61">
        <f>SUM(M41+M42)</f>
        <v>0</v>
      </c>
      <c r="N40" s="42">
        <f t="shared" si="11"/>
        <v>0</v>
      </c>
      <c r="O40" s="34">
        <f t="shared" si="1"/>
        <v>1037468</v>
      </c>
      <c r="P40" s="55">
        <f t="shared" si="2"/>
        <v>9582001</v>
      </c>
    </row>
    <row r="41" spans="1:16" s="9" customFormat="1" x14ac:dyDescent="0.2">
      <c r="A41" s="136" t="s">
        <v>256</v>
      </c>
      <c r="B41" s="135" t="s">
        <v>257</v>
      </c>
      <c r="C41" s="113">
        <v>0</v>
      </c>
      <c r="D41" s="68"/>
      <c r="E41" s="69"/>
      <c r="F41" s="68"/>
      <c r="G41" s="68"/>
      <c r="H41" s="67">
        <f t="shared" si="12"/>
        <v>0</v>
      </c>
      <c r="I41" s="127"/>
      <c r="J41" s="70"/>
      <c r="K41" s="45">
        <f t="shared" si="10"/>
        <v>0</v>
      </c>
      <c r="L41" s="71">
        <v>0</v>
      </c>
      <c r="M41" s="71">
        <v>0</v>
      </c>
      <c r="N41" s="42">
        <f t="shared" si="11"/>
        <v>0</v>
      </c>
      <c r="O41" s="34">
        <f t="shared" si="1"/>
        <v>0</v>
      </c>
      <c r="P41" s="55">
        <f t="shared" si="2"/>
        <v>0</v>
      </c>
    </row>
    <row r="42" spans="1:16" s="1" customFormat="1" x14ac:dyDescent="0.2">
      <c r="A42" s="38" t="s">
        <v>85</v>
      </c>
      <c r="B42" s="39" t="s">
        <v>80</v>
      </c>
      <c r="C42" s="110">
        <f>(C43+C44)</f>
        <v>10619469</v>
      </c>
      <c r="D42" s="40">
        <v>0</v>
      </c>
      <c r="E42" s="41">
        <v>0</v>
      </c>
      <c r="F42" s="40">
        <v>0</v>
      </c>
      <c r="G42" s="40">
        <v>0</v>
      </c>
      <c r="H42" s="67">
        <f t="shared" si="12"/>
        <v>10619469</v>
      </c>
      <c r="I42" s="34">
        <f>(I43+I44)</f>
        <v>7266714</v>
      </c>
      <c r="J42" s="66">
        <f>SUM(J43+J44)</f>
        <v>2315287</v>
      </c>
      <c r="K42" s="45">
        <f t="shared" si="10"/>
        <v>9582001</v>
      </c>
      <c r="L42" s="61">
        <f>(L43+L44)</f>
        <v>0</v>
      </c>
      <c r="M42" s="61">
        <f>(M43+M44)</f>
        <v>0</v>
      </c>
      <c r="N42" s="42">
        <f t="shared" si="11"/>
        <v>0</v>
      </c>
      <c r="O42" s="34">
        <f t="shared" si="1"/>
        <v>1037468</v>
      </c>
      <c r="P42" s="55">
        <f t="shared" si="2"/>
        <v>9582001</v>
      </c>
    </row>
    <row r="43" spans="1:16" x14ac:dyDescent="0.2">
      <c r="A43" s="46" t="s">
        <v>86</v>
      </c>
      <c r="B43" s="47" t="s">
        <v>87</v>
      </c>
      <c r="C43" s="112">
        <v>4474785</v>
      </c>
      <c r="D43" s="49">
        <v>0</v>
      </c>
      <c r="E43" s="50">
        <v>0</v>
      </c>
      <c r="F43" s="49">
        <v>0</v>
      </c>
      <c r="G43" s="49">
        <v>0</v>
      </c>
      <c r="H43" s="67">
        <f t="shared" si="12"/>
        <v>4474785</v>
      </c>
      <c r="I43" s="36">
        <v>2906685</v>
      </c>
      <c r="J43" s="65">
        <v>926115</v>
      </c>
      <c r="K43" s="64">
        <f t="shared" si="10"/>
        <v>3832800</v>
      </c>
      <c r="L43" s="58">
        <v>0</v>
      </c>
      <c r="M43" s="58">
        <v>0</v>
      </c>
      <c r="N43" s="51">
        <f t="shared" si="11"/>
        <v>0</v>
      </c>
      <c r="O43" s="36">
        <f t="shared" si="1"/>
        <v>641985</v>
      </c>
      <c r="P43" s="60">
        <f t="shared" si="2"/>
        <v>3832800</v>
      </c>
    </row>
    <row r="44" spans="1:16" x14ac:dyDescent="0.2">
      <c r="A44" s="46" t="s">
        <v>88</v>
      </c>
      <c r="B44" s="47" t="s">
        <v>89</v>
      </c>
      <c r="C44" s="112">
        <v>6144684</v>
      </c>
      <c r="D44" s="49">
        <v>0</v>
      </c>
      <c r="E44" s="50">
        <v>0</v>
      </c>
      <c r="F44" s="49">
        <v>0</v>
      </c>
      <c r="G44" s="49">
        <v>0</v>
      </c>
      <c r="H44" s="67">
        <f t="shared" si="12"/>
        <v>6144684</v>
      </c>
      <c r="I44" s="36">
        <v>4360029</v>
      </c>
      <c r="J44" s="65">
        <v>1389172</v>
      </c>
      <c r="K44" s="64">
        <f t="shared" si="10"/>
        <v>5749201</v>
      </c>
      <c r="L44" s="58">
        <v>0</v>
      </c>
      <c r="M44" s="58">
        <v>0</v>
      </c>
      <c r="N44" s="51">
        <f t="shared" si="11"/>
        <v>0</v>
      </c>
      <c r="O44" s="36">
        <f t="shared" si="1"/>
        <v>395483</v>
      </c>
      <c r="P44" s="60">
        <f t="shared" si="2"/>
        <v>5749201</v>
      </c>
    </row>
    <row r="45" spans="1:16" s="1" customFormat="1" x14ac:dyDescent="0.2">
      <c r="A45" s="38" t="s">
        <v>90</v>
      </c>
      <c r="B45" s="39" t="s">
        <v>91</v>
      </c>
      <c r="C45" s="110">
        <f>(C46+C59+C64+C76)</f>
        <v>4129504770</v>
      </c>
      <c r="D45" s="40">
        <v>0</v>
      </c>
      <c r="E45" s="41">
        <v>0</v>
      </c>
      <c r="F45" s="40">
        <v>0</v>
      </c>
      <c r="G45" s="40">
        <v>0</v>
      </c>
      <c r="H45" s="34">
        <f t="shared" ref="H45:N45" si="13">(H46+H59+H64+H76)</f>
        <v>5871288153</v>
      </c>
      <c r="I45" s="34">
        <f t="shared" si="13"/>
        <v>4965026210</v>
      </c>
      <c r="J45" s="54">
        <f t="shared" si="13"/>
        <v>1627227446</v>
      </c>
      <c r="K45" s="43">
        <f t="shared" si="13"/>
        <v>6592253656</v>
      </c>
      <c r="L45" s="61">
        <f t="shared" si="13"/>
        <v>2037706967</v>
      </c>
      <c r="M45" s="61">
        <f t="shared" si="13"/>
        <v>88415949</v>
      </c>
      <c r="N45" s="34">
        <f t="shared" si="13"/>
        <v>2126122916</v>
      </c>
      <c r="O45" s="34">
        <f t="shared" si="1"/>
        <v>-720965503</v>
      </c>
      <c r="P45" s="44">
        <f t="shared" si="2"/>
        <v>4466130740</v>
      </c>
    </row>
    <row r="46" spans="1:16" s="1" customFormat="1" x14ac:dyDescent="0.2">
      <c r="A46" s="38" t="s">
        <v>92</v>
      </c>
      <c r="B46" s="39" t="s">
        <v>34</v>
      </c>
      <c r="C46" s="110">
        <f>(C47+C48)</f>
        <v>1052643583</v>
      </c>
      <c r="D46" s="40">
        <v>0</v>
      </c>
      <c r="E46" s="41">
        <v>0</v>
      </c>
      <c r="F46" s="40">
        <v>0</v>
      </c>
      <c r="G46" s="40">
        <v>0</v>
      </c>
      <c r="H46" s="34">
        <f t="shared" ref="H46:N46" si="14">(H47+H48)</f>
        <v>1060337694</v>
      </c>
      <c r="I46" s="34">
        <f t="shared" si="14"/>
        <v>674624736</v>
      </c>
      <c r="J46" s="43">
        <f t="shared" si="14"/>
        <v>280612866</v>
      </c>
      <c r="K46" s="43">
        <f t="shared" si="14"/>
        <v>955237602</v>
      </c>
      <c r="L46" s="61">
        <f t="shared" si="14"/>
        <v>466909119</v>
      </c>
      <c r="M46" s="61">
        <f t="shared" si="14"/>
        <v>8333501</v>
      </c>
      <c r="N46" s="42">
        <f t="shared" si="14"/>
        <v>475242620</v>
      </c>
      <c r="O46" s="34">
        <f t="shared" si="1"/>
        <v>105100092</v>
      </c>
      <c r="P46" s="44">
        <f t="shared" si="2"/>
        <v>479994982</v>
      </c>
    </row>
    <row r="47" spans="1:16" x14ac:dyDescent="0.2">
      <c r="A47" s="46" t="s">
        <v>93</v>
      </c>
      <c r="B47" s="47" t="s">
        <v>36</v>
      </c>
      <c r="C47" s="112">
        <v>809647068</v>
      </c>
      <c r="D47" s="49">
        <v>0</v>
      </c>
      <c r="E47" s="50">
        <v>0</v>
      </c>
      <c r="F47" s="49">
        <v>0</v>
      </c>
      <c r="G47" s="49">
        <v>0</v>
      </c>
      <c r="H47" s="36">
        <f t="shared" ref="H47:H57" si="15">(C47+G47)</f>
        <v>809647068</v>
      </c>
      <c r="I47" s="36">
        <v>574560808</v>
      </c>
      <c r="J47" s="52">
        <v>188545015</v>
      </c>
      <c r="K47" s="48">
        <f>(I47+J47)</f>
        <v>763105823</v>
      </c>
      <c r="L47" s="58">
        <v>390689364</v>
      </c>
      <c r="M47" s="58">
        <v>0</v>
      </c>
      <c r="N47" s="51">
        <f>(L47+M47)</f>
        <v>390689364</v>
      </c>
      <c r="O47" s="36">
        <f t="shared" si="1"/>
        <v>46541245</v>
      </c>
      <c r="P47" s="53">
        <f t="shared" si="2"/>
        <v>372416459</v>
      </c>
    </row>
    <row r="48" spans="1:16" s="1" customFormat="1" x14ac:dyDescent="0.2">
      <c r="A48" s="38" t="s">
        <v>94</v>
      </c>
      <c r="B48" s="39" t="s">
        <v>38</v>
      </c>
      <c r="C48" s="110">
        <f>(C49+C50+C51+C52+C53+C54+C55+C56+C57+C58)</f>
        <v>242996515</v>
      </c>
      <c r="D48" s="40">
        <v>0</v>
      </c>
      <c r="E48" s="41">
        <v>0</v>
      </c>
      <c r="F48" s="40">
        <v>0</v>
      </c>
      <c r="G48" s="40">
        <v>0</v>
      </c>
      <c r="H48" s="34">
        <f t="shared" ref="H48:M48" si="16">(H49+H50+H51+H52+H53+H54+H55+H56+H57+H58)</f>
        <v>250690626</v>
      </c>
      <c r="I48" s="34">
        <f t="shared" si="16"/>
        <v>100063928</v>
      </c>
      <c r="J48" s="54">
        <f t="shared" si="16"/>
        <v>92067851</v>
      </c>
      <c r="K48" s="43">
        <f t="shared" si="16"/>
        <v>192131779</v>
      </c>
      <c r="L48" s="61">
        <f t="shared" si="16"/>
        <v>76219755</v>
      </c>
      <c r="M48" s="61">
        <f t="shared" si="16"/>
        <v>8333501</v>
      </c>
      <c r="N48" s="42">
        <f>(L48+M48)</f>
        <v>84553256</v>
      </c>
      <c r="O48" s="34">
        <f t="shared" si="1"/>
        <v>58558847</v>
      </c>
      <c r="P48" s="55">
        <f t="shared" si="2"/>
        <v>107578523</v>
      </c>
    </row>
    <row r="49" spans="1:16" x14ac:dyDescent="0.2">
      <c r="A49" s="46" t="s">
        <v>95</v>
      </c>
      <c r="B49" s="47" t="s">
        <v>40</v>
      </c>
      <c r="C49" s="112">
        <v>77529576</v>
      </c>
      <c r="D49" s="49">
        <v>0</v>
      </c>
      <c r="E49" s="50">
        <v>0</v>
      </c>
      <c r="F49" s="49">
        <v>0</v>
      </c>
      <c r="G49" s="49">
        <v>0</v>
      </c>
      <c r="H49" s="67">
        <f t="shared" si="15"/>
        <v>77529576</v>
      </c>
      <c r="I49" s="36">
        <v>7450315</v>
      </c>
      <c r="J49" s="57">
        <v>69172156</v>
      </c>
      <c r="K49" s="48">
        <f>(I49+J49)</f>
        <v>76622471</v>
      </c>
      <c r="L49" s="58">
        <v>0</v>
      </c>
      <c r="M49" s="36">
        <v>2019139</v>
      </c>
      <c r="N49" s="49">
        <v>0</v>
      </c>
      <c r="O49" s="36">
        <f t="shared" si="1"/>
        <v>907105</v>
      </c>
      <c r="P49" s="59">
        <f t="shared" si="2"/>
        <v>76622471</v>
      </c>
    </row>
    <row r="50" spans="1:16" x14ac:dyDescent="0.2">
      <c r="A50" s="46" t="s">
        <v>96</v>
      </c>
      <c r="B50" s="47" t="s">
        <v>42</v>
      </c>
      <c r="C50" s="112">
        <v>16800000</v>
      </c>
      <c r="D50" s="49">
        <v>0</v>
      </c>
      <c r="E50" s="50">
        <v>0</v>
      </c>
      <c r="F50" s="49">
        <v>0</v>
      </c>
      <c r="G50" s="49">
        <v>0</v>
      </c>
      <c r="H50" s="67">
        <f t="shared" si="15"/>
        <v>16800000</v>
      </c>
      <c r="I50" s="36">
        <v>5287958</v>
      </c>
      <c r="J50" s="52">
        <v>4916916</v>
      </c>
      <c r="K50" s="48">
        <f>(I50+J50)</f>
        <v>10204874</v>
      </c>
      <c r="L50" s="58">
        <v>3885692</v>
      </c>
      <c r="M50" s="36">
        <v>987177</v>
      </c>
      <c r="N50" s="51">
        <f>(L50+M50)</f>
        <v>4872869</v>
      </c>
      <c r="O50" s="36">
        <f t="shared" si="1"/>
        <v>6595126</v>
      </c>
      <c r="P50" s="59">
        <f t="shared" si="2"/>
        <v>5332005</v>
      </c>
    </row>
    <row r="51" spans="1:16" x14ac:dyDescent="0.2">
      <c r="A51" s="46" t="s">
        <v>97</v>
      </c>
      <c r="B51" s="47" t="s">
        <v>44</v>
      </c>
      <c r="C51" s="112">
        <v>58225491</v>
      </c>
      <c r="D51" s="49">
        <v>0</v>
      </c>
      <c r="E51" s="50">
        <v>0</v>
      </c>
      <c r="F51" s="49">
        <v>0</v>
      </c>
      <c r="G51" s="49">
        <v>0</v>
      </c>
      <c r="H51" s="67">
        <f t="shared" si="15"/>
        <v>58225491</v>
      </c>
      <c r="I51" s="36">
        <v>24707030</v>
      </c>
      <c r="J51" s="52">
        <v>15010688</v>
      </c>
      <c r="K51" s="48">
        <f t="shared" ref="K51:K58" si="17">(I51+J51)</f>
        <v>39717718</v>
      </c>
      <c r="L51" s="58">
        <v>12291489</v>
      </c>
      <c r="M51" s="36">
        <v>5045134</v>
      </c>
      <c r="N51" s="51">
        <f t="shared" ref="N51:N58" si="18">(L51+M51)</f>
        <v>17336623</v>
      </c>
      <c r="O51" s="36">
        <f t="shared" si="1"/>
        <v>18507773</v>
      </c>
      <c r="P51" s="59">
        <f t="shared" si="2"/>
        <v>22381095</v>
      </c>
    </row>
    <row r="52" spans="1:16" x14ac:dyDescent="0.2">
      <c r="A52" s="46" t="s">
        <v>98</v>
      </c>
      <c r="B52" s="47" t="s">
        <v>99</v>
      </c>
      <c r="C52" s="112">
        <v>4498039</v>
      </c>
      <c r="D52" s="49">
        <v>0</v>
      </c>
      <c r="E52" s="50">
        <v>0</v>
      </c>
      <c r="F52" s="49">
        <v>0</v>
      </c>
      <c r="G52" s="49">
        <v>0</v>
      </c>
      <c r="H52" s="67">
        <f t="shared" si="15"/>
        <v>4498039</v>
      </c>
      <c r="I52" s="36">
        <v>2806274</v>
      </c>
      <c r="J52" s="52">
        <v>1477663</v>
      </c>
      <c r="K52" s="48">
        <f t="shared" si="17"/>
        <v>4283937</v>
      </c>
      <c r="L52" s="58">
        <v>1223175</v>
      </c>
      <c r="M52" s="36">
        <v>282051</v>
      </c>
      <c r="N52" s="51">
        <f t="shared" si="18"/>
        <v>1505226</v>
      </c>
      <c r="O52" s="36">
        <f t="shared" si="1"/>
        <v>214102</v>
      </c>
      <c r="P52" s="59">
        <f t="shared" si="2"/>
        <v>2778711</v>
      </c>
    </row>
    <row r="53" spans="1:16" x14ac:dyDescent="0.2">
      <c r="A53" s="46" t="s">
        <v>100</v>
      </c>
      <c r="B53" s="47" t="s">
        <v>48</v>
      </c>
      <c r="C53" s="112">
        <v>42482353</v>
      </c>
      <c r="D53" s="49">
        <v>0</v>
      </c>
      <c r="E53" s="50">
        <v>0</v>
      </c>
      <c r="F53" s="49">
        <v>0</v>
      </c>
      <c r="G53" s="49">
        <v>0</v>
      </c>
      <c r="H53" s="67">
        <f t="shared" si="15"/>
        <v>42482353</v>
      </c>
      <c r="I53" s="36">
        <v>32114210</v>
      </c>
      <c r="J53" s="57">
        <v>0</v>
      </c>
      <c r="K53" s="64">
        <f t="shared" si="17"/>
        <v>32114210</v>
      </c>
      <c r="L53" s="58">
        <v>32114210</v>
      </c>
      <c r="M53" s="58">
        <v>0</v>
      </c>
      <c r="N53" s="51">
        <f t="shared" si="18"/>
        <v>32114210</v>
      </c>
      <c r="O53" s="36">
        <f t="shared" si="1"/>
        <v>10368143</v>
      </c>
      <c r="P53" s="59">
        <f t="shared" si="2"/>
        <v>0</v>
      </c>
    </row>
    <row r="54" spans="1:16" x14ac:dyDescent="0.2">
      <c r="A54" s="46" t="s">
        <v>101</v>
      </c>
      <c r="B54" s="137" t="s">
        <v>50</v>
      </c>
      <c r="C54" s="112">
        <v>26739216</v>
      </c>
      <c r="D54" s="49">
        <v>0</v>
      </c>
      <c r="E54" s="50">
        <v>0</v>
      </c>
      <c r="F54" s="49">
        <v>0</v>
      </c>
      <c r="G54" s="49">
        <v>0</v>
      </c>
      <c r="H54" s="67">
        <f t="shared" si="15"/>
        <v>26739216</v>
      </c>
      <c r="I54" s="36">
        <v>21301713</v>
      </c>
      <c r="J54" s="52">
        <v>0</v>
      </c>
      <c r="K54" s="48">
        <f t="shared" si="17"/>
        <v>21301713</v>
      </c>
      <c r="L54" s="58">
        <v>21301713</v>
      </c>
      <c r="M54" s="58">
        <v>0</v>
      </c>
      <c r="N54" s="51">
        <f t="shared" si="18"/>
        <v>21301713</v>
      </c>
      <c r="O54" s="36">
        <f t="shared" si="1"/>
        <v>5437503</v>
      </c>
      <c r="P54" s="59">
        <f t="shared" si="2"/>
        <v>0</v>
      </c>
    </row>
    <row r="55" spans="1:16" x14ac:dyDescent="0.2">
      <c r="A55" s="46" t="s">
        <v>102</v>
      </c>
      <c r="B55" s="47" t="s">
        <v>52</v>
      </c>
      <c r="C55" s="112">
        <v>3205440</v>
      </c>
      <c r="D55" s="49">
        <v>0</v>
      </c>
      <c r="E55" s="50">
        <v>0</v>
      </c>
      <c r="F55" s="49">
        <v>0</v>
      </c>
      <c r="G55" s="49">
        <v>0</v>
      </c>
      <c r="H55" s="67">
        <f t="shared" si="15"/>
        <v>3205440</v>
      </c>
      <c r="I55" s="36">
        <v>2689400</v>
      </c>
      <c r="J55" s="52">
        <v>916300</v>
      </c>
      <c r="K55" s="48">
        <f t="shared" si="17"/>
        <v>3605700</v>
      </c>
      <c r="L55" s="58">
        <v>2079200</v>
      </c>
      <c r="M55" s="36">
        <v>0</v>
      </c>
      <c r="N55" s="51">
        <f t="shared" si="18"/>
        <v>2079200</v>
      </c>
      <c r="O55" s="36">
        <f t="shared" si="1"/>
        <v>-400260</v>
      </c>
      <c r="P55" s="59">
        <f t="shared" si="2"/>
        <v>1526500</v>
      </c>
    </row>
    <row r="56" spans="1:16" x14ac:dyDescent="0.2">
      <c r="A56" s="46" t="s">
        <v>103</v>
      </c>
      <c r="B56" s="47" t="s">
        <v>54</v>
      </c>
      <c r="C56" s="112">
        <v>3516400</v>
      </c>
      <c r="D56" s="49">
        <v>0</v>
      </c>
      <c r="E56" s="50">
        <v>0</v>
      </c>
      <c r="F56" s="49">
        <v>0</v>
      </c>
      <c r="G56" s="49">
        <v>0</v>
      </c>
      <c r="H56" s="67">
        <f t="shared" si="15"/>
        <v>3516400</v>
      </c>
      <c r="I56" s="36">
        <v>1531008</v>
      </c>
      <c r="J56" s="52">
        <v>574128</v>
      </c>
      <c r="K56" s="48">
        <f t="shared" si="17"/>
        <v>2105136</v>
      </c>
      <c r="L56" s="58">
        <v>1148256</v>
      </c>
      <c r="M56" s="58">
        <v>0</v>
      </c>
      <c r="N56" s="51">
        <f t="shared" si="18"/>
        <v>1148256</v>
      </c>
      <c r="O56" s="36">
        <f t="shared" si="1"/>
        <v>1411264</v>
      </c>
      <c r="P56" s="59">
        <f t="shared" si="2"/>
        <v>956880</v>
      </c>
    </row>
    <row r="57" spans="1:16" x14ac:dyDescent="0.2">
      <c r="A57" s="46" t="s">
        <v>244</v>
      </c>
      <c r="B57" s="47" t="s">
        <v>56</v>
      </c>
      <c r="C57" s="112">
        <v>10000000</v>
      </c>
      <c r="D57" s="49"/>
      <c r="E57" s="50"/>
      <c r="F57" s="49"/>
      <c r="G57" s="49"/>
      <c r="H57" s="36">
        <f t="shared" si="15"/>
        <v>10000000</v>
      </c>
      <c r="I57" s="36">
        <v>2176020</v>
      </c>
      <c r="J57" s="52">
        <v>0</v>
      </c>
      <c r="K57" s="48">
        <f t="shared" si="17"/>
        <v>2176020</v>
      </c>
      <c r="L57" s="58">
        <v>2176020</v>
      </c>
      <c r="M57" s="58">
        <v>0</v>
      </c>
      <c r="N57" s="51">
        <f t="shared" si="18"/>
        <v>2176020</v>
      </c>
      <c r="O57" s="36">
        <f t="shared" si="1"/>
        <v>7823980</v>
      </c>
      <c r="P57" s="59">
        <f t="shared" si="2"/>
        <v>0</v>
      </c>
    </row>
    <row r="58" spans="1:16" x14ac:dyDescent="0.2">
      <c r="A58" s="46" t="s">
        <v>221</v>
      </c>
      <c r="B58" s="47" t="s">
        <v>220</v>
      </c>
      <c r="C58" s="112">
        <v>0</v>
      </c>
      <c r="D58" s="49">
        <v>0</v>
      </c>
      <c r="E58" s="50">
        <v>0</v>
      </c>
      <c r="F58" s="49">
        <v>0</v>
      </c>
      <c r="G58" s="36">
        <v>7694111</v>
      </c>
      <c r="H58" s="36">
        <f>(C58+G58)</f>
        <v>7694111</v>
      </c>
      <c r="I58" s="36">
        <v>0</v>
      </c>
      <c r="J58" s="65">
        <v>0</v>
      </c>
      <c r="K58" s="64">
        <f t="shared" si="17"/>
        <v>0</v>
      </c>
      <c r="L58" s="58">
        <v>0</v>
      </c>
      <c r="M58" s="58">
        <v>0</v>
      </c>
      <c r="N58" s="51">
        <f t="shared" si="18"/>
        <v>0</v>
      </c>
      <c r="O58" s="36">
        <v>0</v>
      </c>
      <c r="P58" s="59">
        <v>0</v>
      </c>
    </row>
    <row r="59" spans="1:16" s="1" customFormat="1" x14ac:dyDescent="0.2">
      <c r="A59" s="38" t="s">
        <v>104</v>
      </c>
      <c r="B59" s="39" t="s">
        <v>58</v>
      </c>
      <c r="C59" s="110">
        <f>(C60+C61+C62+C63)</f>
        <v>1982065746</v>
      </c>
      <c r="D59" s="40">
        <v>0</v>
      </c>
      <c r="E59" s="41">
        <v>0</v>
      </c>
      <c r="F59" s="40">
        <v>0</v>
      </c>
      <c r="G59" s="40">
        <v>0</v>
      </c>
      <c r="H59" s="34">
        <f t="shared" ref="H59:N59" si="19">(H60+H61+H62+H63)</f>
        <v>3704419346</v>
      </c>
      <c r="I59" s="34">
        <f t="shared" si="19"/>
        <v>3462292823</v>
      </c>
      <c r="J59" s="54">
        <f t="shared" si="19"/>
        <v>1057989302</v>
      </c>
      <c r="K59" s="43">
        <f t="shared" si="19"/>
        <v>4520282125</v>
      </c>
      <c r="L59" s="34">
        <f t="shared" si="19"/>
        <v>1073585373</v>
      </c>
      <c r="M59" s="34">
        <f t="shared" si="19"/>
        <v>0</v>
      </c>
      <c r="N59" s="34">
        <f t="shared" si="19"/>
        <v>1073585373</v>
      </c>
      <c r="O59" s="34">
        <f t="shared" si="1"/>
        <v>-815862779</v>
      </c>
      <c r="P59" s="62">
        <f t="shared" si="2"/>
        <v>3446696752</v>
      </c>
    </row>
    <row r="60" spans="1:16" x14ac:dyDescent="0.2">
      <c r="A60" s="46" t="s">
        <v>105</v>
      </c>
      <c r="B60" s="47" t="s">
        <v>60</v>
      </c>
      <c r="C60" s="112">
        <v>800000000</v>
      </c>
      <c r="D60" s="36">
        <v>200000000</v>
      </c>
      <c r="E60" s="50">
        <v>0</v>
      </c>
      <c r="F60" s="49">
        <v>0</v>
      </c>
      <c r="G60" s="51">
        <v>0</v>
      </c>
      <c r="H60" s="36">
        <f>(C60+G60)-D60</f>
        <v>600000000</v>
      </c>
      <c r="I60" s="36">
        <v>561071625</v>
      </c>
      <c r="J60" s="52">
        <v>37899800</v>
      </c>
      <c r="K60" s="48">
        <f>(I60+J60)</f>
        <v>598971425</v>
      </c>
      <c r="L60" s="36">
        <v>231060937</v>
      </c>
      <c r="M60" s="36">
        <v>0</v>
      </c>
      <c r="N60" s="51">
        <f>(L60+M60)</f>
        <v>231060937</v>
      </c>
      <c r="O60" s="36">
        <f t="shared" si="1"/>
        <v>1028575</v>
      </c>
      <c r="P60" s="59">
        <f t="shared" si="2"/>
        <v>367910488</v>
      </c>
    </row>
    <row r="61" spans="1:16" x14ac:dyDescent="0.2">
      <c r="A61" s="46" t="s">
        <v>106</v>
      </c>
      <c r="B61" s="47" t="s">
        <v>62</v>
      </c>
      <c r="C61" s="112">
        <v>32065746</v>
      </c>
      <c r="D61" s="49">
        <v>0</v>
      </c>
      <c r="E61" s="52">
        <v>200000000</v>
      </c>
      <c r="F61" s="49">
        <v>0</v>
      </c>
      <c r="G61" s="49">
        <v>0</v>
      </c>
      <c r="H61" s="36">
        <f>(C61+G61)+E61</f>
        <v>232065746</v>
      </c>
      <c r="I61" s="36">
        <v>215493355</v>
      </c>
      <c r="J61" s="52">
        <v>0</v>
      </c>
      <c r="K61" s="48">
        <f>(I61+J61)</f>
        <v>215493355</v>
      </c>
      <c r="L61" s="51">
        <v>1520634</v>
      </c>
      <c r="M61" s="51">
        <v>0</v>
      </c>
      <c r="N61" s="51">
        <f>(L61+M61)</f>
        <v>1520634</v>
      </c>
      <c r="O61" s="36">
        <f t="shared" si="1"/>
        <v>16572391</v>
      </c>
      <c r="P61" s="59">
        <f t="shared" si="2"/>
        <v>213972721</v>
      </c>
    </row>
    <row r="62" spans="1:16" x14ac:dyDescent="0.2">
      <c r="A62" s="46" t="s">
        <v>107</v>
      </c>
      <c r="B62" s="47" t="s">
        <v>108</v>
      </c>
      <c r="C62" s="112">
        <v>1150000000</v>
      </c>
      <c r="D62" s="36">
        <v>150000000</v>
      </c>
      <c r="E62" s="52">
        <v>410000000</v>
      </c>
      <c r="F62" s="49">
        <v>0</v>
      </c>
      <c r="G62" s="56">
        <v>1450000000</v>
      </c>
      <c r="H62" s="36">
        <f>(C62+G62)-D62+E62</f>
        <v>2860000000</v>
      </c>
      <c r="I62" s="36">
        <v>2685727843</v>
      </c>
      <c r="J62" s="52">
        <v>1020089502</v>
      </c>
      <c r="K62" s="48">
        <f>(I62+J62)</f>
        <v>3705817345</v>
      </c>
      <c r="L62" s="36">
        <v>841003802</v>
      </c>
      <c r="M62" s="36">
        <v>0</v>
      </c>
      <c r="N62" s="36">
        <f>(L62+M62)</f>
        <v>841003802</v>
      </c>
      <c r="O62" s="36">
        <f t="shared" si="1"/>
        <v>-845817345</v>
      </c>
      <c r="P62" s="59">
        <f t="shared" si="2"/>
        <v>2864813543</v>
      </c>
    </row>
    <row r="63" spans="1:16" x14ac:dyDescent="0.2">
      <c r="A63" s="46" t="s">
        <v>222</v>
      </c>
      <c r="B63" s="47" t="s">
        <v>220</v>
      </c>
      <c r="C63" s="112">
        <v>0</v>
      </c>
      <c r="D63" s="49">
        <v>0</v>
      </c>
      <c r="E63" s="50">
        <v>0</v>
      </c>
      <c r="F63" s="49">
        <v>0</v>
      </c>
      <c r="G63" s="36">
        <v>12353600</v>
      </c>
      <c r="H63" s="36">
        <f>(C63+G63)</f>
        <v>12353600</v>
      </c>
      <c r="I63" s="36">
        <v>0</v>
      </c>
      <c r="J63" s="65">
        <v>0</v>
      </c>
      <c r="K63" s="64">
        <f>(I63+J63)</f>
        <v>0</v>
      </c>
      <c r="L63" s="58">
        <v>0</v>
      </c>
      <c r="M63" s="51">
        <v>0</v>
      </c>
      <c r="N63" s="51">
        <f>(L63+M63)</f>
        <v>0</v>
      </c>
      <c r="O63" s="36">
        <v>0</v>
      </c>
      <c r="P63" s="59">
        <v>0</v>
      </c>
    </row>
    <row r="64" spans="1:16" s="1" customFormat="1" x14ac:dyDescent="0.2">
      <c r="A64" s="38" t="s">
        <v>109</v>
      </c>
      <c r="B64" s="39" t="s">
        <v>68</v>
      </c>
      <c r="C64" s="110">
        <f>(C65+C70)</f>
        <v>927942144</v>
      </c>
      <c r="D64" s="40">
        <v>0</v>
      </c>
      <c r="E64" s="41">
        <v>0</v>
      </c>
      <c r="F64" s="40">
        <v>0</v>
      </c>
      <c r="G64" s="40">
        <v>0</v>
      </c>
      <c r="H64" s="34">
        <f t="shared" ref="H64:N64" si="20">(H65+H70)</f>
        <v>877942144</v>
      </c>
      <c r="I64" s="34">
        <f t="shared" si="20"/>
        <v>650024027</v>
      </c>
      <c r="J64" s="54">
        <f t="shared" si="20"/>
        <v>217846852</v>
      </c>
      <c r="K64" s="43">
        <f t="shared" si="20"/>
        <v>867870879</v>
      </c>
      <c r="L64" s="61">
        <f t="shared" si="20"/>
        <v>402400070</v>
      </c>
      <c r="M64" s="73">
        <f t="shared" si="20"/>
        <v>70332115</v>
      </c>
      <c r="N64" s="34">
        <f t="shared" si="20"/>
        <v>472732185</v>
      </c>
      <c r="O64" s="34">
        <f t="shared" si="1"/>
        <v>10071265</v>
      </c>
      <c r="P64" s="62">
        <f t="shared" si="2"/>
        <v>395138694</v>
      </c>
    </row>
    <row r="65" spans="1:22" s="1" customFormat="1" x14ac:dyDescent="0.2">
      <c r="A65" s="38" t="s">
        <v>110</v>
      </c>
      <c r="B65" s="39" t="s">
        <v>70</v>
      </c>
      <c r="C65" s="110">
        <f>SUM(C66:C69)</f>
        <v>216778144</v>
      </c>
      <c r="D65" s="40">
        <v>0</v>
      </c>
      <c r="E65" s="41">
        <v>0</v>
      </c>
      <c r="F65" s="40">
        <v>0</v>
      </c>
      <c r="G65" s="40">
        <v>0</v>
      </c>
      <c r="H65" s="34">
        <f>SUM(H66:H69)</f>
        <v>216778144</v>
      </c>
      <c r="I65" s="34">
        <f t="shared" ref="I65:N65" si="21">(I66+I67+I68+I69)</f>
        <v>156480358</v>
      </c>
      <c r="J65" s="34">
        <f>SUM(J66:J69)</f>
        <v>60297786</v>
      </c>
      <c r="K65" s="43">
        <f t="shared" si="21"/>
        <v>216778144</v>
      </c>
      <c r="L65" s="61">
        <f t="shared" si="21"/>
        <v>95364872</v>
      </c>
      <c r="M65" s="42">
        <f t="shared" si="21"/>
        <v>24424129</v>
      </c>
      <c r="N65" s="42">
        <f t="shared" si="21"/>
        <v>119789001</v>
      </c>
      <c r="O65" s="34">
        <f t="shared" si="1"/>
        <v>0</v>
      </c>
      <c r="P65" s="62">
        <f t="shared" si="2"/>
        <v>96989143</v>
      </c>
    </row>
    <row r="66" spans="1:22" x14ac:dyDescent="0.2">
      <c r="A66" s="46" t="s">
        <v>111</v>
      </c>
      <c r="B66" s="47" t="s">
        <v>72</v>
      </c>
      <c r="C66" s="112">
        <v>52096800</v>
      </c>
      <c r="D66" s="49">
        <v>0</v>
      </c>
      <c r="E66" s="50">
        <v>0</v>
      </c>
      <c r="F66" s="49">
        <v>0</v>
      </c>
      <c r="G66" s="49">
        <v>0</v>
      </c>
      <c r="H66" s="74">
        <f>(C66+G66)</f>
        <v>52096800</v>
      </c>
      <c r="I66" s="36">
        <v>39072600</v>
      </c>
      <c r="J66" s="52">
        <v>13024200</v>
      </c>
      <c r="K66" s="140">
        <f t="shared" ref="K66:K75" si="22">(I66+J66)</f>
        <v>52096800</v>
      </c>
      <c r="L66" s="58">
        <v>13024200</v>
      </c>
      <c r="M66" s="36">
        <v>4341400</v>
      </c>
      <c r="N66" s="131">
        <f t="shared" ref="N66:N75" si="23">(L66+M66)</f>
        <v>17365600</v>
      </c>
      <c r="O66" s="36">
        <f t="shared" si="1"/>
        <v>0</v>
      </c>
      <c r="P66" s="59">
        <f t="shared" si="2"/>
        <v>34731200</v>
      </c>
    </row>
    <row r="67" spans="1:22" x14ac:dyDescent="0.2">
      <c r="A67" s="46" t="s">
        <v>112</v>
      </c>
      <c r="B67" s="47" t="s">
        <v>74</v>
      </c>
      <c r="C67" s="112">
        <v>89906144</v>
      </c>
      <c r="D67" s="49">
        <v>0</v>
      </c>
      <c r="E67" s="50">
        <v>0</v>
      </c>
      <c r="F67" s="49">
        <v>0</v>
      </c>
      <c r="G67" s="49">
        <v>0</v>
      </c>
      <c r="H67" s="74">
        <f>(C67+G67)</f>
        <v>89906144</v>
      </c>
      <c r="I67" s="36">
        <v>67429608</v>
      </c>
      <c r="J67" s="52">
        <v>22476536</v>
      </c>
      <c r="K67" s="140">
        <f t="shared" si="22"/>
        <v>89906144</v>
      </c>
      <c r="L67" s="58">
        <v>44953072</v>
      </c>
      <c r="M67" s="36">
        <v>7492179</v>
      </c>
      <c r="N67" s="131">
        <f t="shared" si="23"/>
        <v>52445251</v>
      </c>
      <c r="O67" s="36">
        <f t="shared" si="1"/>
        <v>0</v>
      </c>
      <c r="P67" s="59">
        <f t="shared" si="2"/>
        <v>37460893</v>
      </c>
    </row>
    <row r="68" spans="1:22" x14ac:dyDescent="0.2">
      <c r="A68" s="46" t="s">
        <v>113</v>
      </c>
      <c r="B68" s="47" t="s">
        <v>76</v>
      </c>
      <c r="C68" s="112">
        <v>50362200</v>
      </c>
      <c r="D68" s="49">
        <v>0</v>
      </c>
      <c r="E68" s="50">
        <v>0</v>
      </c>
      <c r="F68" s="49">
        <v>0</v>
      </c>
      <c r="G68" s="49">
        <v>0</v>
      </c>
      <c r="H68" s="74">
        <f>(C68+G68)</f>
        <v>50362200</v>
      </c>
      <c r="I68" s="36">
        <v>37771650</v>
      </c>
      <c r="J68" s="52">
        <v>12590550</v>
      </c>
      <c r="K68" s="140">
        <f t="shared" si="22"/>
        <v>50362200</v>
      </c>
      <c r="L68" s="58">
        <v>25181100</v>
      </c>
      <c r="M68" s="36">
        <v>12590550</v>
      </c>
      <c r="N68" s="131">
        <f t="shared" si="23"/>
        <v>37771650</v>
      </c>
      <c r="O68" s="36">
        <f t="shared" si="1"/>
        <v>0</v>
      </c>
      <c r="P68" s="59">
        <f t="shared" si="2"/>
        <v>12590550</v>
      </c>
    </row>
    <row r="69" spans="1:22" x14ac:dyDescent="0.2">
      <c r="A69" s="46" t="s">
        <v>114</v>
      </c>
      <c r="B69" s="47" t="s">
        <v>78</v>
      </c>
      <c r="C69" s="112">
        <v>24413000</v>
      </c>
      <c r="D69" s="49">
        <v>0</v>
      </c>
      <c r="E69" s="50">
        <v>0</v>
      </c>
      <c r="F69" s="49">
        <v>0</v>
      </c>
      <c r="G69" s="49">
        <v>0</v>
      </c>
      <c r="H69" s="74">
        <f>(C69+G69)</f>
        <v>24413000</v>
      </c>
      <c r="I69" s="36">
        <v>12206500</v>
      </c>
      <c r="J69" s="52">
        <v>12206500</v>
      </c>
      <c r="K69" s="64">
        <f t="shared" si="22"/>
        <v>24413000</v>
      </c>
      <c r="L69" s="58">
        <v>12206500</v>
      </c>
      <c r="M69" s="51">
        <v>0</v>
      </c>
      <c r="N69" s="51">
        <f t="shared" si="23"/>
        <v>12206500</v>
      </c>
      <c r="O69" s="36">
        <f t="shared" si="1"/>
        <v>0</v>
      </c>
      <c r="P69" s="59">
        <f t="shared" si="2"/>
        <v>12206500</v>
      </c>
    </row>
    <row r="70" spans="1:22" s="7" customFormat="1" x14ac:dyDescent="0.2">
      <c r="A70" s="75" t="s">
        <v>115</v>
      </c>
      <c r="B70" s="76" t="s">
        <v>80</v>
      </c>
      <c r="C70" s="114">
        <f>SUM(C71:C75)</f>
        <v>711164000</v>
      </c>
      <c r="D70" s="78">
        <v>0</v>
      </c>
      <c r="E70" s="79">
        <v>0</v>
      </c>
      <c r="F70" s="78">
        <v>0</v>
      </c>
      <c r="G70" s="78">
        <v>0</v>
      </c>
      <c r="H70" s="77">
        <f>SUM(H71:H75)</f>
        <v>661164000</v>
      </c>
      <c r="I70" s="77">
        <f>SUM(I71:I75)</f>
        <v>493543669</v>
      </c>
      <c r="J70" s="77">
        <f>SUM(J71:J75)</f>
        <v>157549066</v>
      </c>
      <c r="K70" s="80">
        <f t="shared" si="22"/>
        <v>651092735</v>
      </c>
      <c r="L70" s="81">
        <f>SUM(L71:L75)</f>
        <v>307035198</v>
      </c>
      <c r="M70" s="81">
        <f>SUM(M71:M75)</f>
        <v>45907986</v>
      </c>
      <c r="N70" s="74">
        <f t="shared" si="23"/>
        <v>352943184</v>
      </c>
      <c r="O70" s="74">
        <f t="shared" si="1"/>
        <v>10071265</v>
      </c>
      <c r="P70" s="82">
        <f t="shared" si="2"/>
        <v>298149551</v>
      </c>
      <c r="Q70" s="8"/>
      <c r="R70" s="8"/>
      <c r="S70" s="8"/>
      <c r="T70" s="8"/>
      <c r="U70" s="8"/>
      <c r="V70" s="8"/>
    </row>
    <row r="71" spans="1:22" s="7" customFormat="1" x14ac:dyDescent="0.2">
      <c r="A71" s="75" t="s">
        <v>246</v>
      </c>
      <c r="B71" s="76" t="s">
        <v>250</v>
      </c>
      <c r="C71" s="115">
        <v>140000000</v>
      </c>
      <c r="D71" s="78"/>
      <c r="E71" s="79"/>
      <c r="F71" s="78"/>
      <c r="G71" s="78">
        <v>0</v>
      </c>
      <c r="H71" s="74">
        <f>(C71+G71)</f>
        <v>140000000</v>
      </c>
      <c r="I71" s="77">
        <v>105000000</v>
      </c>
      <c r="J71" s="84">
        <v>35000000</v>
      </c>
      <c r="K71" s="142">
        <f t="shared" si="22"/>
        <v>140000000</v>
      </c>
      <c r="L71" s="81">
        <v>70000000</v>
      </c>
      <c r="M71" s="77">
        <v>11666667</v>
      </c>
      <c r="N71" s="141">
        <f t="shared" si="23"/>
        <v>81666667</v>
      </c>
      <c r="O71" s="36">
        <f t="shared" si="1"/>
        <v>0</v>
      </c>
      <c r="P71" s="59">
        <f t="shared" si="2"/>
        <v>58333333</v>
      </c>
      <c r="Q71" s="8"/>
      <c r="R71" s="8"/>
      <c r="S71" s="8"/>
      <c r="T71" s="8"/>
      <c r="U71" s="8"/>
      <c r="V71" s="8"/>
    </row>
    <row r="72" spans="1:22" s="7" customFormat="1" x14ac:dyDescent="0.2">
      <c r="A72" s="75" t="s">
        <v>247</v>
      </c>
      <c r="B72" s="76" t="s">
        <v>251</v>
      </c>
      <c r="C72" s="115">
        <v>197000000</v>
      </c>
      <c r="D72" s="78"/>
      <c r="E72" s="79"/>
      <c r="F72" s="78"/>
      <c r="G72" s="78">
        <v>0</v>
      </c>
      <c r="H72" s="74">
        <f>(C72+G72)</f>
        <v>197000000</v>
      </c>
      <c r="I72" s="77">
        <v>147750000</v>
      </c>
      <c r="J72" s="83">
        <v>49250000</v>
      </c>
      <c r="K72" s="142">
        <f t="shared" si="22"/>
        <v>197000000</v>
      </c>
      <c r="L72" s="81">
        <v>98500000</v>
      </c>
      <c r="M72" s="77">
        <v>16417667</v>
      </c>
      <c r="N72" s="141">
        <f t="shared" si="23"/>
        <v>114917667</v>
      </c>
      <c r="O72" s="36">
        <f t="shared" si="1"/>
        <v>0</v>
      </c>
      <c r="P72" s="59">
        <f t="shared" si="2"/>
        <v>82082333</v>
      </c>
      <c r="Q72" s="8"/>
      <c r="R72" s="8"/>
      <c r="S72" s="8"/>
      <c r="T72" s="8"/>
      <c r="U72" s="8"/>
      <c r="V72" s="8"/>
    </row>
    <row r="73" spans="1:22" s="7" customFormat="1" x14ac:dyDescent="0.2">
      <c r="A73" s="75" t="s">
        <v>248</v>
      </c>
      <c r="B73" s="76" t="s">
        <v>252</v>
      </c>
      <c r="C73" s="115">
        <v>154000000</v>
      </c>
      <c r="D73" s="78"/>
      <c r="E73" s="79"/>
      <c r="F73" s="78"/>
      <c r="G73" s="78">
        <v>0</v>
      </c>
      <c r="H73" s="74">
        <f>(C73+G73)</f>
        <v>154000000</v>
      </c>
      <c r="I73" s="77">
        <v>115500000</v>
      </c>
      <c r="J73" s="84">
        <v>38500000</v>
      </c>
      <c r="K73" s="142">
        <f t="shared" si="22"/>
        <v>154000000</v>
      </c>
      <c r="L73" s="77">
        <v>77000000</v>
      </c>
      <c r="M73" s="77">
        <v>12833333</v>
      </c>
      <c r="N73" s="143">
        <f t="shared" si="23"/>
        <v>89833333</v>
      </c>
      <c r="O73" s="36">
        <f t="shared" si="1"/>
        <v>0</v>
      </c>
      <c r="P73" s="59">
        <f t="shared" si="2"/>
        <v>64166667</v>
      </c>
      <c r="Q73" s="8"/>
      <c r="R73" s="8"/>
      <c r="S73" s="8"/>
      <c r="T73" s="8"/>
      <c r="U73" s="8"/>
      <c r="V73" s="8"/>
    </row>
    <row r="74" spans="1:22" s="7" customFormat="1" x14ac:dyDescent="0.2">
      <c r="A74" s="75" t="s">
        <v>249</v>
      </c>
      <c r="B74" s="76" t="s">
        <v>253</v>
      </c>
      <c r="C74" s="115">
        <v>33000000</v>
      </c>
      <c r="D74" s="78"/>
      <c r="E74" s="79"/>
      <c r="F74" s="78"/>
      <c r="G74" s="78">
        <v>0</v>
      </c>
      <c r="H74" s="74">
        <f>(C74+G74)</f>
        <v>33000000</v>
      </c>
      <c r="I74" s="77">
        <v>31470957</v>
      </c>
      <c r="J74" s="84">
        <v>1529043</v>
      </c>
      <c r="K74" s="85">
        <f t="shared" si="22"/>
        <v>33000000</v>
      </c>
      <c r="L74" s="81">
        <v>12867175</v>
      </c>
      <c r="M74" s="77">
        <v>4990319</v>
      </c>
      <c r="N74" s="86">
        <f t="shared" si="23"/>
        <v>17857494</v>
      </c>
      <c r="O74" s="36">
        <f t="shared" si="1"/>
        <v>0</v>
      </c>
      <c r="P74" s="59">
        <f t="shared" si="2"/>
        <v>15142506</v>
      </c>
      <c r="Q74" s="8"/>
      <c r="R74" s="8"/>
      <c r="S74" s="8"/>
      <c r="T74" s="8"/>
      <c r="U74" s="8"/>
      <c r="V74" s="8"/>
    </row>
    <row r="75" spans="1:22" x14ac:dyDescent="0.2">
      <c r="A75" s="46" t="s">
        <v>116</v>
      </c>
      <c r="B75" s="47" t="s">
        <v>82</v>
      </c>
      <c r="C75" s="112">
        <v>187164000</v>
      </c>
      <c r="D75" s="36">
        <v>50000000</v>
      </c>
      <c r="E75" s="50">
        <v>0</v>
      </c>
      <c r="F75" s="49">
        <v>0</v>
      </c>
      <c r="G75" s="49">
        <v>0</v>
      </c>
      <c r="H75" s="36">
        <f>(C75+G75)-D75+E75</f>
        <v>137164000</v>
      </c>
      <c r="I75" s="36">
        <v>93822712</v>
      </c>
      <c r="J75" s="65">
        <v>33270023</v>
      </c>
      <c r="K75" s="64">
        <f t="shared" si="22"/>
        <v>127092735</v>
      </c>
      <c r="L75" s="36">
        <v>48668023</v>
      </c>
      <c r="M75" s="51">
        <v>0</v>
      </c>
      <c r="N75" s="36">
        <f t="shared" si="23"/>
        <v>48668023</v>
      </c>
      <c r="O75" s="36">
        <f t="shared" si="1"/>
        <v>10071265</v>
      </c>
      <c r="P75" s="60">
        <f t="shared" si="2"/>
        <v>78424712</v>
      </c>
    </row>
    <row r="76" spans="1:22" s="1" customFormat="1" x14ac:dyDescent="0.2">
      <c r="A76" s="38" t="s">
        <v>117</v>
      </c>
      <c r="B76" s="39" t="s">
        <v>84</v>
      </c>
      <c r="C76" s="110">
        <f>(C77+C81)</f>
        <v>166853297</v>
      </c>
      <c r="D76" s="40">
        <v>0</v>
      </c>
      <c r="E76" s="41">
        <v>0</v>
      </c>
      <c r="F76" s="40">
        <v>0</v>
      </c>
      <c r="G76" s="40">
        <v>0</v>
      </c>
      <c r="H76" s="34">
        <f t="shared" ref="H76:N76" si="24">(H77+H81)</f>
        <v>228588969</v>
      </c>
      <c r="I76" s="34">
        <f t="shared" si="24"/>
        <v>178084624</v>
      </c>
      <c r="J76" s="54">
        <f t="shared" si="24"/>
        <v>70778426</v>
      </c>
      <c r="K76" s="43">
        <f t="shared" si="24"/>
        <v>248863050</v>
      </c>
      <c r="L76" s="42">
        <f t="shared" si="24"/>
        <v>94812405</v>
      </c>
      <c r="M76" s="34">
        <f t="shared" si="24"/>
        <v>9750333</v>
      </c>
      <c r="N76" s="34">
        <f t="shared" si="24"/>
        <v>104562738</v>
      </c>
      <c r="O76" s="34">
        <f t="shared" si="1"/>
        <v>-20274081</v>
      </c>
      <c r="P76" s="44">
        <f t="shared" si="2"/>
        <v>144300312</v>
      </c>
    </row>
    <row r="77" spans="1:22" s="1" customFormat="1" x14ac:dyDescent="0.2">
      <c r="A77" s="38" t="s">
        <v>118</v>
      </c>
      <c r="B77" s="39" t="s">
        <v>70</v>
      </c>
      <c r="C77" s="110">
        <f>(C78+C79+C80)</f>
        <v>117004000</v>
      </c>
      <c r="D77" s="40">
        <v>0</v>
      </c>
      <c r="E77" s="41">
        <v>0</v>
      </c>
      <c r="F77" s="40">
        <v>0</v>
      </c>
      <c r="G77" s="40">
        <v>0</v>
      </c>
      <c r="H77" s="34">
        <f>(H78+H79+H80)</f>
        <v>117004000</v>
      </c>
      <c r="I77" s="34">
        <f t="shared" ref="I77:N77" si="25">(I78+I79+I80)</f>
        <v>87753000</v>
      </c>
      <c r="J77" s="54">
        <f t="shared" si="25"/>
        <v>29251000</v>
      </c>
      <c r="K77" s="43">
        <f t="shared" si="25"/>
        <v>117004000</v>
      </c>
      <c r="L77" s="42">
        <f t="shared" si="25"/>
        <v>58502000</v>
      </c>
      <c r="M77" s="34">
        <f t="shared" si="25"/>
        <v>9750333</v>
      </c>
      <c r="N77" s="34">
        <f t="shared" si="25"/>
        <v>68252333</v>
      </c>
      <c r="O77" s="34">
        <f t="shared" si="1"/>
        <v>0</v>
      </c>
      <c r="P77" s="62">
        <f t="shared" si="2"/>
        <v>48751667</v>
      </c>
    </row>
    <row r="78" spans="1:22" x14ac:dyDescent="0.2">
      <c r="A78" s="46" t="s">
        <v>119</v>
      </c>
      <c r="B78" s="47" t="s">
        <v>120</v>
      </c>
      <c r="C78" s="112">
        <v>44139000</v>
      </c>
      <c r="D78" s="49">
        <v>0</v>
      </c>
      <c r="E78" s="50">
        <v>0</v>
      </c>
      <c r="F78" s="49">
        <v>0</v>
      </c>
      <c r="G78" s="49">
        <v>0</v>
      </c>
      <c r="H78" s="87">
        <f>(C78+G78)</f>
        <v>44139000</v>
      </c>
      <c r="I78" s="36">
        <v>33104250</v>
      </c>
      <c r="J78" s="52">
        <v>11034750</v>
      </c>
      <c r="K78" s="144">
        <f>(I78+J78)</f>
        <v>44139000</v>
      </c>
      <c r="L78" s="51">
        <v>22069500</v>
      </c>
      <c r="M78" s="36">
        <v>3678250</v>
      </c>
      <c r="N78" s="132">
        <f>(L78+M78)</f>
        <v>25747750</v>
      </c>
      <c r="O78" s="36">
        <f t="shared" si="1"/>
        <v>0</v>
      </c>
      <c r="P78" s="59">
        <f t="shared" si="2"/>
        <v>18391250</v>
      </c>
    </row>
    <row r="79" spans="1:22" x14ac:dyDescent="0.2">
      <c r="A79" s="46" t="s">
        <v>121</v>
      </c>
      <c r="B79" s="47" t="s">
        <v>74</v>
      </c>
      <c r="C79" s="112">
        <v>47704000</v>
      </c>
      <c r="D79" s="49">
        <v>0</v>
      </c>
      <c r="E79" s="50">
        <v>0</v>
      </c>
      <c r="F79" s="49">
        <v>0</v>
      </c>
      <c r="G79" s="49">
        <v>0</v>
      </c>
      <c r="H79" s="87">
        <f>(C79+G79)</f>
        <v>47704000</v>
      </c>
      <c r="I79" s="36">
        <v>35778000</v>
      </c>
      <c r="J79" s="52">
        <v>11926000</v>
      </c>
      <c r="K79" s="48">
        <f>(I79+J79)</f>
        <v>47704000</v>
      </c>
      <c r="L79" s="51">
        <v>23852000</v>
      </c>
      <c r="M79" s="36">
        <v>3975333</v>
      </c>
      <c r="N79" s="51">
        <f>(L79+M79)</f>
        <v>27827333</v>
      </c>
      <c r="O79" s="36">
        <f t="shared" si="1"/>
        <v>0</v>
      </c>
      <c r="P79" s="59">
        <f t="shared" si="2"/>
        <v>19876667</v>
      </c>
    </row>
    <row r="80" spans="1:22" x14ac:dyDescent="0.2">
      <c r="A80" s="46" t="s">
        <v>122</v>
      </c>
      <c r="B80" s="47" t="s">
        <v>123</v>
      </c>
      <c r="C80" s="112">
        <v>25161000</v>
      </c>
      <c r="D80" s="49">
        <v>0</v>
      </c>
      <c r="E80" s="50">
        <v>0</v>
      </c>
      <c r="F80" s="49">
        <v>0</v>
      </c>
      <c r="G80" s="49">
        <v>0</v>
      </c>
      <c r="H80" s="87">
        <f>(C80+G80)</f>
        <v>25161000</v>
      </c>
      <c r="I80" s="36">
        <v>18870750</v>
      </c>
      <c r="J80" s="52">
        <v>6290250</v>
      </c>
      <c r="K80" s="64">
        <f>(I80+J80)</f>
        <v>25161000</v>
      </c>
      <c r="L80" s="51">
        <v>12580500</v>
      </c>
      <c r="M80" s="36">
        <v>2096750</v>
      </c>
      <c r="N80" s="51">
        <f>(L80+M80)</f>
        <v>14677250</v>
      </c>
      <c r="O80" s="36">
        <f t="shared" si="1"/>
        <v>0</v>
      </c>
      <c r="P80" s="59">
        <f t="shared" si="2"/>
        <v>10483750</v>
      </c>
    </row>
    <row r="81" spans="1:16" s="1" customFormat="1" x14ac:dyDescent="0.2">
      <c r="A81" s="38" t="s">
        <v>124</v>
      </c>
      <c r="B81" s="39" t="s">
        <v>80</v>
      </c>
      <c r="C81" s="110">
        <f>(C82+C83+C84)</f>
        <v>49849297</v>
      </c>
      <c r="D81" s="40">
        <v>0</v>
      </c>
      <c r="E81" s="41">
        <v>0</v>
      </c>
      <c r="F81" s="40">
        <v>0</v>
      </c>
      <c r="G81" s="40">
        <v>0</v>
      </c>
      <c r="H81" s="34">
        <f t="shared" ref="H81:N81" si="26">(H82+H83+H84)</f>
        <v>111584969</v>
      </c>
      <c r="I81" s="34">
        <f t="shared" si="26"/>
        <v>90331624</v>
      </c>
      <c r="J81" s="42">
        <f t="shared" si="26"/>
        <v>41527426</v>
      </c>
      <c r="K81" s="54">
        <f t="shared" si="26"/>
        <v>131859050</v>
      </c>
      <c r="L81" s="42">
        <f t="shared" si="26"/>
        <v>36310405</v>
      </c>
      <c r="M81" s="42">
        <f t="shared" si="26"/>
        <v>0</v>
      </c>
      <c r="N81" s="42">
        <f t="shared" si="26"/>
        <v>36310405</v>
      </c>
      <c r="O81" s="34">
        <f t="shared" si="1"/>
        <v>-20274081</v>
      </c>
      <c r="P81" s="62">
        <f t="shared" si="2"/>
        <v>95548645</v>
      </c>
    </row>
    <row r="82" spans="1:16" x14ac:dyDescent="0.2">
      <c r="A82" s="46" t="s">
        <v>125</v>
      </c>
      <c r="B82" s="47" t="s">
        <v>87</v>
      </c>
      <c r="C82" s="112">
        <v>19939719</v>
      </c>
      <c r="D82" s="49">
        <v>0</v>
      </c>
      <c r="E82" s="52">
        <v>20000000</v>
      </c>
      <c r="F82" s="49">
        <v>0</v>
      </c>
      <c r="G82" s="51">
        <v>0</v>
      </c>
      <c r="H82" s="87">
        <f>(C82+G82)-D82+E82</f>
        <v>39939719</v>
      </c>
      <c r="I82" s="36">
        <v>37052242</v>
      </c>
      <c r="J82" s="65">
        <v>16634913</v>
      </c>
      <c r="K82" s="48">
        <f>(I82+J82)</f>
        <v>53687155</v>
      </c>
      <c r="L82" s="36">
        <v>14524162</v>
      </c>
      <c r="M82" s="36">
        <v>0</v>
      </c>
      <c r="N82" s="36">
        <f>(L82+M82)</f>
        <v>14524162</v>
      </c>
      <c r="O82" s="36">
        <f t="shared" si="1"/>
        <v>-13747436</v>
      </c>
      <c r="P82" s="59">
        <f t="shared" si="2"/>
        <v>39162993</v>
      </c>
    </row>
    <row r="83" spans="1:16" x14ac:dyDescent="0.2">
      <c r="A83" s="46" t="s">
        <v>126</v>
      </c>
      <c r="B83" s="47" t="s">
        <v>89</v>
      </c>
      <c r="C83" s="112">
        <v>29909578</v>
      </c>
      <c r="D83" s="49">
        <v>0</v>
      </c>
      <c r="E83" s="52">
        <v>30000000</v>
      </c>
      <c r="F83" s="49">
        <v>0</v>
      </c>
      <c r="G83" s="51">
        <v>0</v>
      </c>
      <c r="H83" s="87">
        <f>(C83+G83)-D83+E83</f>
        <v>59909578</v>
      </c>
      <c r="I83" s="36">
        <v>53279382</v>
      </c>
      <c r="J83" s="65">
        <v>24892513</v>
      </c>
      <c r="K83" s="48">
        <f>(I83+J83)</f>
        <v>78171895</v>
      </c>
      <c r="L83" s="36">
        <v>21786243</v>
      </c>
      <c r="M83" s="36">
        <v>0</v>
      </c>
      <c r="N83" s="36">
        <f>(L83+M83)</f>
        <v>21786243</v>
      </c>
      <c r="O83" s="36">
        <f t="shared" si="1"/>
        <v>-18262317</v>
      </c>
      <c r="P83" s="59">
        <f t="shared" si="2"/>
        <v>56385652</v>
      </c>
    </row>
    <row r="84" spans="1:16" x14ac:dyDescent="0.2">
      <c r="A84" s="88">
        <v>1020499</v>
      </c>
      <c r="B84" s="47" t="s">
        <v>220</v>
      </c>
      <c r="C84" s="112">
        <v>0</v>
      </c>
      <c r="D84" s="49">
        <v>0</v>
      </c>
      <c r="E84" s="50">
        <v>0</v>
      </c>
      <c r="F84" s="49">
        <v>0</v>
      </c>
      <c r="G84" s="36">
        <v>11735672</v>
      </c>
      <c r="H84" s="36">
        <f>(C84+G84)</f>
        <v>11735672</v>
      </c>
      <c r="I84" s="36">
        <v>0</v>
      </c>
      <c r="J84" s="65">
        <v>0</v>
      </c>
      <c r="K84" s="64">
        <f>(I84+J84)</f>
        <v>0</v>
      </c>
      <c r="L84" s="51">
        <v>0</v>
      </c>
      <c r="M84" s="58">
        <v>0</v>
      </c>
      <c r="N84" s="51">
        <f>(L84+M84)</f>
        <v>0</v>
      </c>
      <c r="O84" s="36">
        <v>0</v>
      </c>
      <c r="P84" s="59">
        <v>0</v>
      </c>
    </row>
    <row r="85" spans="1:16" s="1" customFormat="1" x14ac:dyDescent="0.2">
      <c r="A85" s="38" t="s">
        <v>127</v>
      </c>
      <c r="B85" s="39" t="s">
        <v>128</v>
      </c>
      <c r="C85" s="110">
        <f>+C86+C105</f>
        <v>2029397868</v>
      </c>
      <c r="D85" s="40">
        <v>0</v>
      </c>
      <c r="E85" s="41">
        <v>0</v>
      </c>
      <c r="F85" s="40">
        <v>0</v>
      </c>
      <c r="G85" s="40">
        <v>0</v>
      </c>
      <c r="H85" s="34">
        <f>+H86+H105</f>
        <v>2826219197</v>
      </c>
      <c r="I85" s="34">
        <f>+I86+I105</f>
        <v>2391646192</v>
      </c>
      <c r="J85" s="54">
        <f>(J86+J105)</f>
        <v>557292920</v>
      </c>
      <c r="K85" s="43">
        <f>(K86+K105)</f>
        <v>2948939112</v>
      </c>
      <c r="L85" s="34">
        <f>(L86+L105)</f>
        <v>1075529902</v>
      </c>
      <c r="M85" s="61">
        <f>(M86+M105)</f>
        <v>1643000</v>
      </c>
      <c r="N85" s="34">
        <f>(N86+N105)</f>
        <v>1077172902</v>
      </c>
      <c r="O85" s="34">
        <f t="shared" si="1"/>
        <v>-122719915</v>
      </c>
      <c r="P85" s="62">
        <f t="shared" si="2"/>
        <v>1871766210</v>
      </c>
    </row>
    <row r="86" spans="1:16" s="1" customFormat="1" x14ac:dyDescent="0.2">
      <c r="A86" s="38" t="s">
        <v>129</v>
      </c>
      <c r="B86" s="39" t="s">
        <v>32</v>
      </c>
      <c r="C86" s="110">
        <f>(C87+C90+C103)</f>
        <v>1111397868</v>
      </c>
      <c r="D86" s="40">
        <v>0</v>
      </c>
      <c r="E86" s="41">
        <v>0</v>
      </c>
      <c r="F86" s="40">
        <v>0</v>
      </c>
      <c r="G86" s="40">
        <v>0</v>
      </c>
      <c r="H86" s="34">
        <f t="shared" ref="H86:N86" si="27">(H87+H90+H103)</f>
        <v>1284397868</v>
      </c>
      <c r="I86" s="34">
        <f t="shared" si="27"/>
        <v>1051061539</v>
      </c>
      <c r="J86" s="34">
        <f t="shared" si="27"/>
        <v>288771547</v>
      </c>
      <c r="K86" s="34">
        <f t="shared" si="27"/>
        <v>1339833086</v>
      </c>
      <c r="L86" s="34">
        <f t="shared" si="27"/>
        <v>525626041</v>
      </c>
      <c r="M86" s="61">
        <f t="shared" si="27"/>
        <v>1643000</v>
      </c>
      <c r="N86" s="34">
        <f t="shared" si="27"/>
        <v>527269041</v>
      </c>
      <c r="O86" s="34">
        <f t="shared" ref="O86:O141" si="28">(H86-K86)</f>
        <v>-55435218</v>
      </c>
      <c r="P86" s="62">
        <f t="shared" si="2"/>
        <v>812564045</v>
      </c>
    </row>
    <row r="87" spans="1:16" s="1" customFormat="1" x14ac:dyDescent="0.2">
      <c r="A87" s="38" t="s">
        <v>130</v>
      </c>
      <c r="B87" s="39" t="s">
        <v>131</v>
      </c>
      <c r="C87" s="111">
        <f>+C88+C89</f>
        <v>500000000</v>
      </c>
      <c r="D87" s="40">
        <v>0</v>
      </c>
      <c r="E87" s="41">
        <v>0</v>
      </c>
      <c r="F87" s="40">
        <v>0</v>
      </c>
      <c r="G87" s="40">
        <v>0</v>
      </c>
      <c r="H87" s="36">
        <f>SUM(H88:H89)</f>
        <v>402000000</v>
      </c>
      <c r="I87" s="34">
        <f t="shared" ref="I87:N87" si="29">(I88+I89)</f>
        <v>374772240</v>
      </c>
      <c r="J87" s="34">
        <f t="shared" si="29"/>
        <v>103239950</v>
      </c>
      <c r="K87" s="34">
        <f t="shared" si="29"/>
        <v>478012190</v>
      </c>
      <c r="L87" s="42">
        <f t="shared" si="29"/>
        <v>194154865</v>
      </c>
      <c r="M87" s="61">
        <f t="shared" si="29"/>
        <v>0</v>
      </c>
      <c r="N87" s="34">
        <f t="shared" si="29"/>
        <v>194154865</v>
      </c>
      <c r="O87" s="34">
        <f t="shared" si="28"/>
        <v>-76012190</v>
      </c>
      <c r="P87" s="62">
        <f t="shared" ref="P87:P141" si="30">(K87-N87)</f>
        <v>283857325</v>
      </c>
    </row>
    <row r="88" spans="1:16" x14ac:dyDescent="0.2">
      <c r="A88" s="46" t="s">
        <v>132</v>
      </c>
      <c r="B88" s="47" t="s">
        <v>133</v>
      </c>
      <c r="C88" s="112">
        <v>340000000</v>
      </c>
      <c r="D88" s="133">
        <v>192000000</v>
      </c>
      <c r="E88" s="50">
        <v>0</v>
      </c>
      <c r="F88" s="49">
        <v>0</v>
      </c>
      <c r="G88" s="51">
        <v>0</v>
      </c>
      <c r="H88" s="36">
        <v>148000000</v>
      </c>
      <c r="I88" s="36">
        <v>133866500</v>
      </c>
      <c r="J88" s="52">
        <v>23815300</v>
      </c>
      <c r="K88" s="144">
        <f>(I88+J88)</f>
        <v>157681800</v>
      </c>
      <c r="L88" s="51">
        <v>54194841</v>
      </c>
      <c r="M88" s="58">
        <v>0</v>
      </c>
      <c r="N88" s="36">
        <f>(L88+M88)</f>
        <v>54194841</v>
      </c>
      <c r="O88" s="36">
        <f t="shared" si="28"/>
        <v>-9681800</v>
      </c>
      <c r="P88" s="59">
        <f t="shared" si="30"/>
        <v>103486959</v>
      </c>
    </row>
    <row r="89" spans="1:16" x14ac:dyDescent="0.2">
      <c r="A89" s="46" t="s">
        <v>134</v>
      </c>
      <c r="B89" s="47" t="s">
        <v>135</v>
      </c>
      <c r="C89" s="112">
        <v>160000000</v>
      </c>
      <c r="D89" s="49">
        <v>0</v>
      </c>
      <c r="E89" s="147">
        <v>24000000</v>
      </c>
      <c r="F89" s="49">
        <v>0</v>
      </c>
      <c r="G89" s="36">
        <v>70000000</v>
      </c>
      <c r="H89" s="36">
        <f>(C89+G89)+E89</f>
        <v>254000000</v>
      </c>
      <c r="I89" s="36">
        <v>240905740</v>
      </c>
      <c r="J89" s="52">
        <v>79424650</v>
      </c>
      <c r="K89" s="144">
        <f>(I89+J89)</f>
        <v>320330390</v>
      </c>
      <c r="L89" s="51">
        <v>139960024</v>
      </c>
      <c r="M89" s="67">
        <v>0</v>
      </c>
      <c r="N89" s="36">
        <f>(L89+M89)</f>
        <v>139960024</v>
      </c>
      <c r="O89" s="36">
        <f t="shared" si="28"/>
        <v>-66330390</v>
      </c>
      <c r="P89" s="59">
        <f t="shared" si="30"/>
        <v>180370366</v>
      </c>
    </row>
    <row r="90" spans="1:16" s="1" customFormat="1" x14ac:dyDescent="0.2">
      <c r="A90" s="38" t="s">
        <v>136</v>
      </c>
      <c r="B90" s="39" t="s">
        <v>137</v>
      </c>
      <c r="C90" s="110">
        <f>(C91+C92+C93+C94+C95+C96+C98+C99+C100+C101+C102)</f>
        <v>590591845</v>
      </c>
      <c r="D90" s="40">
        <v>0</v>
      </c>
      <c r="E90" s="41">
        <v>0</v>
      </c>
      <c r="F90" s="40">
        <v>0</v>
      </c>
      <c r="G90" s="40">
        <v>0</v>
      </c>
      <c r="H90" s="34">
        <f t="shared" ref="H90:N90" si="31">(H91+H92+H93+H94+H95+H96+H97+H98+H99+H100+H101+H102)</f>
        <v>861591845</v>
      </c>
      <c r="I90" s="34">
        <f t="shared" si="31"/>
        <v>664557329</v>
      </c>
      <c r="J90" s="54">
        <f t="shared" si="31"/>
        <v>176457544</v>
      </c>
      <c r="K90" s="54">
        <f t="shared" si="31"/>
        <v>841014873</v>
      </c>
      <c r="L90" s="54">
        <f t="shared" si="31"/>
        <v>319739206</v>
      </c>
      <c r="M90" s="54">
        <f t="shared" si="31"/>
        <v>1643000</v>
      </c>
      <c r="N90" s="54">
        <f t="shared" si="31"/>
        <v>321382206</v>
      </c>
      <c r="O90" s="34">
        <f t="shared" si="28"/>
        <v>20576972</v>
      </c>
      <c r="P90" s="62">
        <f t="shared" si="30"/>
        <v>519632667</v>
      </c>
    </row>
    <row r="91" spans="1:16" x14ac:dyDescent="0.2">
      <c r="A91" s="46" t="s">
        <v>138</v>
      </c>
      <c r="B91" s="47" t="s">
        <v>139</v>
      </c>
      <c r="C91" s="112">
        <v>69591845</v>
      </c>
      <c r="D91" s="49">
        <v>0</v>
      </c>
      <c r="E91" s="147">
        <v>15000000</v>
      </c>
      <c r="F91" s="49">
        <v>0</v>
      </c>
      <c r="G91" s="49">
        <v>0</v>
      </c>
      <c r="H91" s="36">
        <f>(C91+G91)+E91</f>
        <v>84591845</v>
      </c>
      <c r="I91" s="36">
        <v>62975666</v>
      </c>
      <c r="J91" s="52">
        <v>20170894</v>
      </c>
      <c r="K91" s="144">
        <f>(I91+J91)</f>
        <v>83146560</v>
      </c>
      <c r="L91" s="51">
        <v>26804417</v>
      </c>
      <c r="M91" s="36">
        <v>0</v>
      </c>
      <c r="N91" s="36">
        <f>(L91+M91)</f>
        <v>26804417</v>
      </c>
      <c r="O91" s="36">
        <f t="shared" si="28"/>
        <v>1445285</v>
      </c>
      <c r="P91" s="59">
        <f t="shared" si="30"/>
        <v>56342143</v>
      </c>
    </row>
    <row r="92" spans="1:16" x14ac:dyDescent="0.2">
      <c r="A92" s="46" t="s">
        <v>140</v>
      </c>
      <c r="B92" s="47" t="s">
        <v>141</v>
      </c>
      <c r="C92" s="112">
        <v>35000000</v>
      </c>
      <c r="D92" s="49">
        <v>0</v>
      </c>
      <c r="E92" s="147">
        <v>15000000</v>
      </c>
      <c r="F92" s="49">
        <v>0</v>
      </c>
      <c r="G92" s="36">
        <v>15000000</v>
      </c>
      <c r="H92" s="36">
        <f>(C92+G92)+E92</f>
        <v>65000000</v>
      </c>
      <c r="I92" s="36">
        <v>62716960</v>
      </c>
      <c r="J92" s="52">
        <v>31759810</v>
      </c>
      <c r="K92" s="144">
        <f t="shared" ref="K92:K102" si="32">(I92+J92)</f>
        <v>94476770</v>
      </c>
      <c r="L92" s="36">
        <v>28350000</v>
      </c>
      <c r="M92" s="36">
        <v>0</v>
      </c>
      <c r="N92" s="36">
        <f t="shared" ref="N92:N102" si="33">(L92+M92)</f>
        <v>28350000</v>
      </c>
      <c r="O92" s="36">
        <f t="shared" si="28"/>
        <v>-29476770</v>
      </c>
      <c r="P92" s="59">
        <f t="shared" si="30"/>
        <v>66126770</v>
      </c>
    </row>
    <row r="93" spans="1:16" x14ac:dyDescent="0.2">
      <c r="A93" s="46" t="s">
        <v>142</v>
      </c>
      <c r="B93" s="47" t="s">
        <v>143</v>
      </c>
      <c r="C93" s="112">
        <v>170000000</v>
      </c>
      <c r="D93" s="49">
        <v>0</v>
      </c>
      <c r="E93" s="50">
        <v>0</v>
      </c>
      <c r="F93" s="49">
        <v>0</v>
      </c>
      <c r="G93" s="36">
        <v>30000000</v>
      </c>
      <c r="H93" s="36">
        <f t="shared" ref="H93:H104" si="34">(C93+G93)</f>
        <v>200000000</v>
      </c>
      <c r="I93" s="36">
        <v>145569770</v>
      </c>
      <c r="J93" s="52">
        <v>50788227</v>
      </c>
      <c r="K93" s="144">
        <f t="shared" si="32"/>
        <v>196357997</v>
      </c>
      <c r="L93" s="36">
        <v>91776167</v>
      </c>
      <c r="M93" s="36">
        <v>0</v>
      </c>
      <c r="N93" s="36">
        <f t="shared" si="33"/>
        <v>91776167</v>
      </c>
      <c r="O93" s="36">
        <f t="shared" si="28"/>
        <v>3642003</v>
      </c>
      <c r="P93" s="59">
        <f t="shared" si="30"/>
        <v>104581830</v>
      </c>
    </row>
    <row r="94" spans="1:16" x14ac:dyDescent="0.2">
      <c r="A94" s="46" t="s">
        <v>144</v>
      </c>
      <c r="B94" s="47" t="s">
        <v>145</v>
      </c>
      <c r="C94" s="112">
        <v>120000000</v>
      </c>
      <c r="D94" s="133">
        <v>10000000</v>
      </c>
      <c r="E94" s="50">
        <v>0</v>
      </c>
      <c r="F94" s="49">
        <v>0</v>
      </c>
      <c r="G94" s="36">
        <v>95000000</v>
      </c>
      <c r="H94" s="36">
        <f>(C94+G94)+E94-D94</f>
        <v>205000000</v>
      </c>
      <c r="I94" s="36">
        <v>190708078</v>
      </c>
      <c r="J94" s="52">
        <v>9860000</v>
      </c>
      <c r="K94" s="144">
        <f t="shared" si="32"/>
        <v>200568078</v>
      </c>
      <c r="L94" s="36">
        <v>73997872</v>
      </c>
      <c r="M94" s="36">
        <v>0</v>
      </c>
      <c r="N94" s="36">
        <f t="shared" si="33"/>
        <v>73997872</v>
      </c>
      <c r="O94" s="36">
        <f t="shared" si="28"/>
        <v>4431922</v>
      </c>
      <c r="P94" s="59">
        <f t="shared" si="30"/>
        <v>126570206</v>
      </c>
    </row>
    <row r="95" spans="1:16" x14ac:dyDescent="0.2">
      <c r="A95" s="46" t="s">
        <v>146</v>
      </c>
      <c r="B95" s="47" t="s">
        <v>147</v>
      </c>
      <c r="C95" s="112">
        <v>20000000</v>
      </c>
      <c r="D95" s="133">
        <v>20000000</v>
      </c>
      <c r="E95" s="52">
        <v>20000000</v>
      </c>
      <c r="F95" s="49">
        <v>0</v>
      </c>
      <c r="G95" s="36">
        <v>40000000</v>
      </c>
      <c r="H95" s="36">
        <f>(C95+G95)+E95-D95</f>
        <v>60000000</v>
      </c>
      <c r="I95" s="36">
        <v>38787989</v>
      </c>
      <c r="J95" s="52">
        <v>3151313</v>
      </c>
      <c r="K95" s="144">
        <f t="shared" si="32"/>
        <v>41939302</v>
      </c>
      <c r="L95" s="36">
        <v>24886690</v>
      </c>
      <c r="M95" s="36">
        <v>0</v>
      </c>
      <c r="N95" s="36">
        <f t="shared" si="33"/>
        <v>24886690</v>
      </c>
      <c r="O95" s="36">
        <f t="shared" si="28"/>
        <v>18060698</v>
      </c>
      <c r="P95" s="59">
        <f t="shared" si="30"/>
        <v>17052612</v>
      </c>
    </row>
    <row r="96" spans="1:16" x14ac:dyDescent="0.2">
      <c r="A96" s="46" t="s">
        <v>148</v>
      </c>
      <c r="B96" s="47" t="s">
        <v>149</v>
      </c>
      <c r="C96" s="112">
        <v>25000000</v>
      </c>
      <c r="D96" s="49">
        <v>0</v>
      </c>
      <c r="E96" s="50">
        <v>0</v>
      </c>
      <c r="F96" s="49">
        <v>0</v>
      </c>
      <c r="G96" s="36">
        <v>27000000</v>
      </c>
      <c r="H96" s="36">
        <f t="shared" si="34"/>
        <v>52000000</v>
      </c>
      <c r="I96" s="36">
        <v>24764920</v>
      </c>
      <c r="J96" s="52">
        <v>7566000</v>
      </c>
      <c r="K96" s="144">
        <f t="shared" si="32"/>
        <v>32330920</v>
      </c>
      <c r="L96" s="36">
        <v>17198920</v>
      </c>
      <c r="M96" s="138">
        <v>1643000</v>
      </c>
      <c r="N96" s="51">
        <f t="shared" si="33"/>
        <v>18841920</v>
      </c>
      <c r="O96" s="36">
        <f t="shared" si="28"/>
        <v>19669080</v>
      </c>
      <c r="P96" s="59">
        <f t="shared" si="30"/>
        <v>13489000</v>
      </c>
    </row>
    <row r="97" spans="1:16" x14ac:dyDescent="0.2">
      <c r="A97" s="46" t="s">
        <v>258</v>
      </c>
      <c r="B97" s="47" t="s">
        <v>259</v>
      </c>
      <c r="C97" s="112">
        <v>0</v>
      </c>
      <c r="D97" s="36">
        <v>160000000</v>
      </c>
      <c r="E97" s="52">
        <v>160000000</v>
      </c>
      <c r="F97" s="49"/>
      <c r="G97" s="51">
        <v>0</v>
      </c>
      <c r="H97" s="36">
        <f>(C97+G97)-D97+E97</f>
        <v>0</v>
      </c>
      <c r="I97" s="36"/>
      <c r="J97" s="52">
        <v>0</v>
      </c>
      <c r="K97" s="48">
        <f t="shared" si="32"/>
        <v>0</v>
      </c>
      <c r="L97" s="51"/>
      <c r="M97" s="58"/>
      <c r="N97" s="51"/>
      <c r="O97" s="36">
        <f t="shared" si="28"/>
        <v>0</v>
      </c>
      <c r="P97" s="59">
        <f t="shared" si="30"/>
        <v>0</v>
      </c>
    </row>
    <row r="98" spans="1:16" x14ac:dyDescent="0.2">
      <c r="A98" s="46" t="s">
        <v>150</v>
      </c>
      <c r="B98" s="47" t="s">
        <v>151</v>
      </c>
      <c r="C98" s="112">
        <v>56000000</v>
      </c>
      <c r="D98" s="49">
        <v>0</v>
      </c>
      <c r="E98" s="50">
        <v>0</v>
      </c>
      <c r="F98" s="49">
        <v>0</v>
      </c>
      <c r="G98" s="51">
        <v>0</v>
      </c>
      <c r="H98" s="36">
        <f t="shared" si="34"/>
        <v>56000000</v>
      </c>
      <c r="I98" s="36">
        <v>43926846</v>
      </c>
      <c r="J98" s="52">
        <v>5398700</v>
      </c>
      <c r="K98" s="144">
        <f t="shared" si="32"/>
        <v>49325546</v>
      </c>
      <c r="L98" s="36">
        <v>11868400</v>
      </c>
      <c r="M98" s="36">
        <v>0</v>
      </c>
      <c r="N98" s="36">
        <f t="shared" si="33"/>
        <v>11868400</v>
      </c>
      <c r="O98" s="36">
        <f t="shared" si="28"/>
        <v>6674454</v>
      </c>
      <c r="P98" s="59">
        <f t="shared" si="30"/>
        <v>37457146</v>
      </c>
    </row>
    <row r="99" spans="1:16" x14ac:dyDescent="0.2">
      <c r="A99" s="46" t="s">
        <v>152</v>
      </c>
      <c r="B99" s="47" t="s">
        <v>153</v>
      </c>
      <c r="C99" s="112">
        <v>15000000</v>
      </c>
      <c r="D99" s="133">
        <v>20000000</v>
      </c>
      <c r="E99" s="52">
        <v>10000000</v>
      </c>
      <c r="F99" s="49">
        <v>0</v>
      </c>
      <c r="G99" s="36">
        <v>30000000</v>
      </c>
      <c r="H99" s="36">
        <f>(C99+G99)+E99-D99</f>
        <v>35000000</v>
      </c>
      <c r="I99" s="36">
        <v>21134000</v>
      </c>
      <c r="J99" s="52">
        <v>562600</v>
      </c>
      <c r="K99" s="144">
        <f t="shared" si="32"/>
        <v>21696600</v>
      </c>
      <c r="L99" s="36">
        <v>14550000</v>
      </c>
      <c r="M99" s="36">
        <v>0</v>
      </c>
      <c r="N99" s="36">
        <f t="shared" si="33"/>
        <v>14550000</v>
      </c>
      <c r="O99" s="36">
        <f t="shared" si="28"/>
        <v>13303400</v>
      </c>
      <c r="P99" s="59">
        <f t="shared" si="30"/>
        <v>7146600</v>
      </c>
    </row>
    <row r="100" spans="1:16" x14ac:dyDescent="0.2">
      <c r="A100" s="46" t="s">
        <v>154</v>
      </c>
      <c r="B100" s="47" t="s">
        <v>155</v>
      </c>
      <c r="C100" s="112">
        <v>80000000</v>
      </c>
      <c r="D100" s="133">
        <v>35000000</v>
      </c>
      <c r="E100" s="50">
        <v>0</v>
      </c>
      <c r="F100" s="49">
        <v>0</v>
      </c>
      <c r="G100" s="36">
        <v>59000000</v>
      </c>
      <c r="H100" s="36">
        <f>(C100+G100)+E100-D100</f>
        <v>104000000</v>
      </c>
      <c r="I100" s="36">
        <v>73973100</v>
      </c>
      <c r="J100" s="134">
        <v>47200000</v>
      </c>
      <c r="K100" s="145">
        <f t="shared" si="32"/>
        <v>121173100</v>
      </c>
      <c r="L100" s="36">
        <v>30306740</v>
      </c>
      <c r="M100" s="36">
        <v>0</v>
      </c>
      <c r="N100" s="133">
        <f t="shared" si="33"/>
        <v>30306740</v>
      </c>
      <c r="O100" s="36">
        <f t="shared" si="28"/>
        <v>-17173100</v>
      </c>
      <c r="P100" s="59">
        <f t="shared" si="30"/>
        <v>90866360</v>
      </c>
    </row>
    <row r="101" spans="1:16" x14ac:dyDescent="0.2">
      <c r="A101" s="46" t="s">
        <v>156</v>
      </c>
      <c r="B101" s="47" t="s">
        <v>157</v>
      </c>
      <c r="C101" s="112">
        <v>0</v>
      </c>
      <c r="D101" s="49">
        <v>0</v>
      </c>
      <c r="E101" s="50">
        <v>0</v>
      </c>
      <c r="F101" s="49">
        <v>0</v>
      </c>
      <c r="G101" s="51">
        <v>0</v>
      </c>
      <c r="H101" s="36">
        <f t="shared" si="34"/>
        <v>0</v>
      </c>
      <c r="I101" s="36">
        <v>0</v>
      </c>
      <c r="J101" s="65">
        <v>0</v>
      </c>
      <c r="K101" s="64">
        <f t="shared" si="32"/>
        <v>0</v>
      </c>
      <c r="L101" s="51">
        <v>0</v>
      </c>
      <c r="M101" s="58">
        <v>0</v>
      </c>
      <c r="N101" s="51">
        <f t="shared" si="33"/>
        <v>0</v>
      </c>
      <c r="O101" s="36">
        <f t="shared" si="28"/>
        <v>0</v>
      </c>
      <c r="P101" s="59">
        <f t="shared" si="30"/>
        <v>0</v>
      </c>
    </row>
    <row r="102" spans="1:16" x14ac:dyDescent="0.2">
      <c r="A102" s="46" t="s">
        <v>223</v>
      </c>
      <c r="B102" s="47" t="s">
        <v>220</v>
      </c>
      <c r="C102" s="116">
        <v>0</v>
      </c>
      <c r="D102" s="49">
        <v>0</v>
      </c>
      <c r="E102" s="50">
        <v>0</v>
      </c>
      <c r="F102" s="49">
        <v>0</v>
      </c>
      <c r="G102" s="51">
        <v>0</v>
      </c>
      <c r="H102" s="36">
        <f t="shared" si="34"/>
        <v>0</v>
      </c>
      <c r="I102" s="36">
        <v>0</v>
      </c>
      <c r="J102" s="57">
        <v>0</v>
      </c>
      <c r="K102" s="64">
        <f t="shared" si="32"/>
        <v>0</v>
      </c>
      <c r="L102" s="51">
        <v>0</v>
      </c>
      <c r="M102" s="58">
        <v>0</v>
      </c>
      <c r="N102" s="51">
        <f t="shared" si="33"/>
        <v>0</v>
      </c>
      <c r="O102" s="36">
        <v>0</v>
      </c>
      <c r="P102" s="59">
        <v>0</v>
      </c>
    </row>
    <row r="103" spans="1:16" s="1" customFormat="1" x14ac:dyDescent="0.2">
      <c r="A103" s="38" t="s">
        <v>158</v>
      </c>
      <c r="B103" s="39" t="s">
        <v>159</v>
      </c>
      <c r="C103" s="112">
        <f>+C104</f>
        <v>20806023</v>
      </c>
      <c r="D103" s="40">
        <v>0</v>
      </c>
      <c r="E103" s="41">
        <v>0</v>
      </c>
      <c r="F103" s="40">
        <v>0</v>
      </c>
      <c r="G103" s="40">
        <v>0</v>
      </c>
      <c r="H103" s="36">
        <f t="shared" si="34"/>
        <v>20806023</v>
      </c>
      <c r="I103" s="54">
        <f>(I104)</f>
        <v>11731970</v>
      </c>
      <c r="J103" s="54">
        <f>(J104)</f>
        <v>9074053</v>
      </c>
      <c r="K103" s="89">
        <f>(I103+J103)</f>
        <v>20806023</v>
      </c>
      <c r="L103" s="66">
        <f>(L104)</f>
        <v>11731970</v>
      </c>
      <c r="M103" s="90">
        <f>(M104)</f>
        <v>0</v>
      </c>
      <c r="N103" s="66">
        <f>(N104)</f>
        <v>11731970</v>
      </c>
      <c r="O103" s="34">
        <f t="shared" si="28"/>
        <v>0</v>
      </c>
      <c r="P103" s="62">
        <f t="shared" si="30"/>
        <v>9074053</v>
      </c>
    </row>
    <row r="104" spans="1:16" x14ac:dyDescent="0.2">
      <c r="A104" s="46" t="s">
        <v>160</v>
      </c>
      <c r="B104" s="47" t="s">
        <v>161</v>
      </c>
      <c r="C104" s="112">
        <v>20806023</v>
      </c>
      <c r="D104" s="49">
        <v>0</v>
      </c>
      <c r="E104" s="50">
        <v>0</v>
      </c>
      <c r="F104" s="49">
        <v>0</v>
      </c>
      <c r="G104" s="49">
        <v>0</v>
      </c>
      <c r="H104" s="36">
        <f t="shared" si="34"/>
        <v>20806023</v>
      </c>
      <c r="I104" s="36">
        <v>11731970</v>
      </c>
      <c r="J104" s="52">
        <v>9074053</v>
      </c>
      <c r="K104" s="146">
        <f>(I104+J104)</f>
        <v>20806023</v>
      </c>
      <c r="L104" s="36">
        <v>11731970</v>
      </c>
      <c r="M104" s="58">
        <v>0</v>
      </c>
      <c r="N104" s="133">
        <f>(L104+M104)</f>
        <v>11731970</v>
      </c>
      <c r="O104" s="36">
        <f t="shared" si="28"/>
        <v>0</v>
      </c>
      <c r="P104" s="59">
        <f t="shared" si="30"/>
        <v>9074053</v>
      </c>
    </row>
    <row r="105" spans="1:16" s="1" customFormat="1" x14ac:dyDescent="0.2">
      <c r="A105" s="38" t="s">
        <v>162</v>
      </c>
      <c r="B105" s="39" t="s">
        <v>91</v>
      </c>
      <c r="C105" s="110">
        <f>+C106+C112</f>
        <v>918000000</v>
      </c>
      <c r="D105" s="40">
        <v>0</v>
      </c>
      <c r="E105" s="41">
        <v>0</v>
      </c>
      <c r="F105" s="40">
        <v>0</v>
      </c>
      <c r="G105" s="40">
        <v>0</v>
      </c>
      <c r="H105" s="34">
        <f t="shared" ref="H105:N105" si="35">+H106+H112</f>
        <v>1541821329</v>
      </c>
      <c r="I105" s="34">
        <f t="shared" si="35"/>
        <v>1340584653</v>
      </c>
      <c r="J105" s="34">
        <f t="shared" si="35"/>
        <v>268521373</v>
      </c>
      <c r="K105" s="43">
        <f t="shared" si="35"/>
        <v>1609106026</v>
      </c>
      <c r="L105" s="34">
        <f t="shared" si="35"/>
        <v>549903861</v>
      </c>
      <c r="M105" s="61">
        <f t="shared" si="35"/>
        <v>0</v>
      </c>
      <c r="N105" s="42">
        <f t="shared" si="35"/>
        <v>549903861</v>
      </c>
      <c r="O105" s="34">
        <f t="shared" si="28"/>
        <v>-67284697</v>
      </c>
      <c r="P105" s="62">
        <f t="shared" si="30"/>
        <v>1059202165</v>
      </c>
    </row>
    <row r="106" spans="1:16" s="1" customFormat="1" x14ac:dyDescent="0.2">
      <c r="A106" s="38" t="s">
        <v>163</v>
      </c>
      <c r="B106" s="39" t="s">
        <v>131</v>
      </c>
      <c r="C106" s="110">
        <f>(C107+C108)</f>
        <v>450000000</v>
      </c>
      <c r="D106" s="40">
        <v>0</v>
      </c>
      <c r="E106" s="41">
        <v>0</v>
      </c>
      <c r="F106" s="40">
        <v>0</v>
      </c>
      <c r="G106" s="40">
        <v>0</v>
      </c>
      <c r="H106" s="34">
        <f t="shared" ref="H106:N106" si="36">(H107+H108)</f>
        <v>737738399</v>
      </c>
      <c r="I106" s="34">
        <f t="shared" si="36"/>
        <v>622627276</v>
      </c>
      <c r="J106" s="34">
        <f t="shared" si="36"/>
        <v>84791310</v>
      </c>
      <c r="K106" s="43">
        <f t="shared" si="36"/>
        <v>707418586</v>
      </c>
      <c r="L106" s="34">
        <f t="shared" si="36"/>
        <v>385528322</v>
      </c>
      <c r="M106" s="61">
        <f t="shared" si="36"/>
        <v>0</v>
      </c>
      <c r="N106" s="42">
        <f t="shared" si="36"/>
        <v>385528322</v>
      </c>
      <c r="O106" s="34">
        <f t="shared" si="28"/>
        <v>30319813</v>
      </c>
      <c r="P106" s="62">
        <f t="shared" si="30"/>
        <v>321890264</v>
      </c>
    </row>
    <row r="107" spans="1:16" x14ac:dyDescent="0.2">
      <c r="A107" s="46" t="s">
        <v>164</v>
      </c>
      <c r="B107" s="47" t="s">
        <v>165</v>
      </c>
      <c r="C107" s="112">
        <v>200000000</v>
      </c>
      <c r="D107" s="49">
        <v>0</v>
      </c>
      <c r="E107" s="147">
        <v>100000000</v>
      </c>
      <c r="F107" s="49">
        <v>0</v>
      </c>
      <c r="G107" s="58">
        <v>104730598</v>
      </c>
      <c r="H107" s="36">
        <f>(C107+G107)+E107</f>
        <v>404730598</v>
      </c>
      <c r="I107" s="36">
        <v>377385910</v>
      </c>
      <c r="J107" s="52">
        <v>27264360</v>
      </c>
      <c r="K107" s="144">
        <f>(I107+J107)</f>
        <v>404650270</v>
      </c>
      <c r="L107" s="36">
        <v>254143100</v>
      </c>
      <c r="M107" s="58">
        <v>0</v>
      </c>
      <c r="N107" s="36">
        <f>(L107+M107)</f>
        <v>254143100</v>
      </c>
      <c r="O107" s="36">
        <f t="shared" si="28"/>
        <v>80328</v>
      </c>
      <c r="P107" s="59">
        <f t="shared" si="30"/>
        <v>150507170</v>
      </c>
    </row>
    <row r="108" spans="1:16" s="1" customFormat="1" x14ac:dyDescent="0.2">
      <c r="A108" s="38" t="s">
        <v>166</v>
      </c>
      <c r="B108" s="39" t="s">
        <v>38</v>
      </c>
      <c r="C108" s="111">
        <f>SUM(C109:C111)</f>
        <v>250000000</v>
      </c>
      <c r="D108" s="40">
        <v>0</v>
      </c>
      <c r="E108" s="41">
        <v>0</v>
      </c>
      <c r="F108" s="40">
        <v>0</v>
      </c>
      <c r="G108" s="40">
        <v>0</v>
      </c>
      <c r="H108" s="34">
        <f t="shared" ref="H108:N108" si="37">(H109+H110+H111)</f>
        <v>333007801</v>
      </c>
      <c r="I108" s="34">
        <f t="shared" si="37"/>
        <v>245241366</v>
      </c>
      <c r="J108" s="34">
        <f t="shared" si="37"/>
        <v>57526950</v>
      </c>
      <c r="K108" s="43">
        <f t="shared" si="37"/>
        <v>302768316</v>
      </c>
      <c r="L108" s="34">
        <f t="shared" si="37"/>
        <v>131385222</v>
      </c>
      <c r="M108" s="61">
        <f t="shared" si="37"/>
        <v>0</v>
      </c>
      <c r="N108" s="42">
        <f t="shared" si="37"/>
        <v>131385222</v>
      </c>
      <c r="O108" s="34">
        <f t="shared" si="28"/>
        <v>30239485</v>
      </c>
      <c r="P108" s="62">
        <f t="shared" si="30"/>
        <v>171383094</v>
      </c>
    </row>
    <row r="109" spans="1:16" x14ac:dyDescent="0.2">
      <c r="A109" s="46" t="s">
        <v>167</v>
      </c>
      <c r="B109" s="47" t="s">
        <v>135</v>
      </c>
      <c r="C109" s="112">
        <v>240000000</v>
      </c>
      <c r="D109" s="49">
        <v>0</v>
      </c>
      <c r="E109" s="147">
        <v>44433248</v>
      </c>
      <c r="F109" s="49">
        <v>0</v>
      </c>
      <c r="G109" s="49">
        <v>0</v>
      </c>
      <c r="H109" s="36">
        <f>(C109+G109)+E109</f>
        <v>284433248</v>
      </c>
      <c r="I109" s="36">
        <v>226705230</v>
      </c>
      <c r="J109" s="52">
        <v>56026950</v>
      </c>
      <c r="K109" s="144">
        <f>(I109+J109)</f>
        <v>282732180</v>
      </c>
      <c r="L109" s="36">
        <v>124456530</v>
      </c>
      <c r="M109" s="36">
        <v>0</v>
      </c>
      <c r="N109" s="36">
        <f>(L109+M109)</f>
        <v>124456530</v>
      </c>
      <c r="O109" s="36">
        <f t="shared" si="28"/>
        <v>1701068</v>
      </c>
      <c r="P109" s="59">
        <f t="shared" si="30"/>
        <v>158275650</v>
      </c>
    </row>
    <row r="110" spans="1:16" x14ac:dyDescent="0.2">
      <c r="A110" s="46" t="s">
        <v>168</v>
      </c>
      <c r="B110" s="47" t="s">
        <v>169</v>
      </c>
      <c r="C110" s="112">
        <v>10000000</v>
      </c>
      <c r="D110" s="49">
        <v>0</v>
      </c>
      <c r="E110" s="52">
        <v>5000000</v>
      </c>
      <c r="F110" s="49">
        <v>0</v>
      </c>
      <c r="G110" s="36">
        <v>20000000</v>
      </c>
      <c r="H110" s="36">
        <f>(C110+G110)+E110</f>
        <v>35000000</v>
      </c>
      <c r="I110" s="36">
        <v>16023320</v>
      </c>
      <c r="J110" s="134">
        <v>1500000</v>
      </c>
      <c r="K110" s="145">
        <f>(I110+J110)</f>
        <v>17523320</v>
      </c>
      <c r="L110" s="36">
        <v>4415876</v>
      </c>
      <c r="M110" s="36">
        <v>0</v>
      </c>
      <c r="N110" s="130">
        <f>(L110+M110)</f>
        <v>4415876</v>
      </c>
      <c r="O110" s="36">
        <f t="shared" si="28"/>
        <v>17476680</v>
      </c>
      <c r="P110" s="59">
        <f t="shared" si="30"/>
        <v>13107444</v>
      </c>
    </row>
    <row r="111" spans="1:16" x14ac:dyDescent="0.2">
      <c r="A111" s="46" t="s">
        <v>224</v>
      </c>
      <c r="B111" s="47" t="s">
        <v>220</v>
      </c>
      <c r="C111" s="116">
        <v>0</v>
      </c>
      <c r="D111" s="49">
        <v>0</v>
      </c>
      <c r="E111" s="50"/>
      <c r="F111" s="49">
        <v>0</v>
      </c>
      <c r="G111" s="36">
        <v>13574553</v>
      </c>
      <c r="H111" s="36">
        <f>(C111+G111)+E111</f>
        <v>13574553</v>
      </c>
      <c r="I111" s="36">
        <v>2512816</v>
      </c>
      <c r="J111" s="57">
        <v>0</v>
      </c>
      <c r="K111" s="64">
        <f>(I111+J111)</f>
        <v>2512816</v>
      </c>
      <c r="L111" s="51">
        <v>2512816</v>
      </c>
      <c r="M111" s="58">
        <v>0</v>
      </c>
      <c r="N111" s="51">
        <f>(L111+M111)</f>
        <v>2512816</v>
      </c>
      <c r="O111" s="36">
        <v>0</v>
      </c>
      <c r="P111" s="59">
        <v>0</v>
      </c>
    </row>
    <row r="112" spans="1:16" s="1" customFormat="1" x14ac:dyDescent="0.2">
      <c r="A112" s="38" t="s">
        <v>170</v>
      </c>
      <c r="B112" s="39" t="s">
        <v>137</v>
      </c>
      <c r="C112" s="111">
        <f>SUM(C113+C114)</f>
        <v>468000000</v>
      </c>
      <c r="D112" s="40">
        <v>0</v>
      </c>
      <c r="E112" s="41">
        <v>0</v>
      </c>
      <c r="F112" s="40">
        <v>0</v>
      </c>
      <c r="G112" s="40">
        <v>0</v>
      </c>
      <c r="H112" s="34">
        <f t="shared" ref="H112:N112" si="38">(H113+H114)</f>
        <v>804082930</v>
      </c>
      <c r="I112" s="34">
        <f t="shared" si="38"/>
        <v>717957377</v>
      </c>
      <c r="J112" s="54">
        <f t="shared" si="38"/>
        <v>183730063</v>
      </c>
      <c r="K112" s="43">
        <f t="shared" si="38"/>
        <v>901687440</v>
      </c>
      <c r="L112" s="42">
        <f t="shared" si="38"/>
        <v>164375539</v>
      </c>
      <c r="M112" s="61">
        <f t="shared" si="38"/>
        <v>0</v>
      </c>
      <c r="N112" s="42">
        <f t="shared" si="38"/>
        <v>164375539</v>
      </c>
      <c r="O112" s="34">
        <f t="shared" si="28"/>
        <v>-97604510</v>
      </c>
      <c r="P112" s="62">
        <f t="shared" si="30"/>
        <v>737311901</v>
      </c>
    </row>
    <row r="113" spans="1:16" x14ac:dyDescent="0.2">
      <c r="A113" s="46" t="s">
        <v>171</v>
      </c>
      <c r="B113" s="47" t="s">
        <v>165</v>
      </c>
      <c r="C113" s="112">
        <v>290000000</v>
      </c>
      <c r="D113" s="49">
        <v>0</v>
      </c>
      <c r="E113" s="147">
        <v>80000000</v>
      </c>
      <c r="F113" s="49">
        <v>0</v>
      </c>
      <c r="G113" s="36">
        <v>171082930</v>
      </c>
      <c r="H113" s="36">
        <f>(C113+G113)+E113</f>
        <v>541082930</v>
      </c>
      <c r="I113" s="36">
        <v>490424143</v>
      </c>
      <c r="J113" s="52">
        <v>128155350</v>
      </c>
      <c r="K113" s="144">
        <f>(I113+J113)</f>
        <v>618579493</v>
      </c>
      <c r="L113" s="51">
        <v>61033700</v>
      </c>
      <c r="M113" s="36">
        <v>0</v>
      </c>
      <c r="N113" s="51">
        <f>(L113+M113)</f>
        <v>61033700</v>
      </c>
      <c r="O113" s="36">
        <f t="shared" si="28"/>
        <v>-77496563</v>
      </c>
      <c r="P113" s="59">
        <f t="shared" si="30"/>
        <v>557545793</v>
      </c>
    </row>
    <row r="114" spans="1:16" s="1" customFormat="1" x14ac:dyDescent="0.2">
      <c r="A114" s="38" t="s">
        <v>172</v>
      </c>
      <c r="B114" s="39" t="s">
        <v>173</v>
      </c>
      <c r="C114" s="111">
        <f>SUM(C115:C117)</f>
        <v>178000000</v>
      </c>
      <c r="D114" s="40">
        <v>0</v>
      </c>
      <c r="E114" s="41">
        <v>0</v>
      </c>
      <c r="F114" s="40">
        <v>0</v>
      </c>
      <c r="G114" s="40">
        <v>0</v>
      </c>
      <c r="H114" s="34">
        <f t="shared" ref="H114:N114" si="39">(H115+H116+H117)</f>
        <v>263000000</v>
      </c>
      <c r="I114" s="34">
        <f t="shared" si="39"/>
        <v>227533234</v>
      </c>
      <c r="J114" s="34">
        <f t="shared" si="39"/>
        <v>55574713</v>
      </c>
      <c r="K114" s="43">
        <f t="shared" si="39"/>
        <v>283107947</v>
      </c>
      <c r="L114" s="42">
        <f t="shared" si="39"/>
        <v>103341839</v>
      </c>
      <c r="M114" s="34">
        <f t="shared" si="39"/>
        <v>0</v>
      </c>
      <c r="N114" s="42">
        <f t="shared" si="39"/>
        <v>103341839</v>
      </c>
      <c r="O114" s="34">
        <f t="shared" si="28"/>
        <v>-20107947</v>
      </c>
      <c r="P114" s="62">
        <f t="shared" si="30"/>
        <v>179766108</v>
      </c>
    </row>
    <row r="115" spans="1:16" x14ac:dyDescent="0.2">
      <c r="A115" s="46" t="s">
        <v>174</v>
      </c>
      <c r="B115" s="47" t="s">
        <v>175</v>
      </c>
      <c r="C115" s="112">
        <v>98000000</v>
      </c>
      <c r="D115" s="133">
        <v>70000000</v>
      </c>
      <c r="E115" s="50">
        <v>0</v>
      </c>
      <c r="F115" s="49">
        <v>0</v>
      </c>
      <c r="G115" s="36">
        <v>80000000</v>
      </c>
      <c r="H115" s="36">
        <f>(C115+G115)+E115-D115</f>
        <v>108000000</v>
      </c>
      <c r="I115" s="36">
        <v>89739484</v>
      </c>
      <c r="J115" s="126">
        <v>27913713</v>
      </c>
      <c r="K115" s="145">
        <f>(I115+J115)</f>
        <v>117653197</v>
      </c>
      <c r="L115" s="51">
        <v>41226739</v>
      </c>
      <c r="M115" s="138">
        <v>0</v>
      </c>
      <c r="N115" s="130">
        <f>(L115+M115)</f>
        <v>41226739</v>
      </c>
      <c r="O115" s="36">
        <f t="shared" si="28"/>
        <v>-9653197</v>
      </c>
      <c r="P115" s="59">
        <f t="shared" si="30"/>
        <v>76426458</v>
      </c>
    </row>
    <row r="116" spans="1:16" x14ac:dyDescent="0.2">
      <c r="A116" s="46" t="s">
        <v>225</v>
      </c>
      <c r="B116" s="47" t="s">
        <v>226</v>
      </c>
      <c r="C116" s="112">
        <v>80000000</v>
      </c>
      <c r="D116" s="49">
        <v>0</v>
      </c>
      <c r="E116" s="50">
        <v>0</v>
      </c>
      <c r="F116" s="49">
        <v>0</v>
      </c>
      <c r="G116" s="36">
        <v>75000000</v>
      </c>
      <c r="H116" s="36">
        <f>(C116+G116)</f>
        <v>155000000</v>
      </c>
      <c r="I116" s="36">
        <v>137793750</v>
      </c>
      <c r="J116" s="134">
        <v>27661000</v>
      </c>
      <c r="K116" s="145">
        <f>(I116+J116)</f>
        <v>165454750</v>
      </c>
      <c r="L116" s="36">
        <v>62115100</v>
      </c>
      <c r="M116" s="36">
        <v>0</v>
      </c>
      <c r="N116" s="130">
        <f>(L116+M116)</f>
        <v>62115100</v>
      </c>
      <c r="O116" s="36">
        <v>0</v>
      </c>
      <c r="P116" s="59">
        <f t="shared" si="30"/>
        <v>103339650</v>
      </c>
    </row>
    <row r="117" spans="1:16" x14ac:dyDescent="0.2">
      <c r="A117" s="46" t="s">
        <v>227</v>
      </c>
      <c r="B117" s="47" t="s">
        <v>220</v>
      </c>
      <c r="C117" s="116">
        <v>0</v>
      </c>
      <c r="D117" s="49">
        <v>0</v>
      </c>
      <c r="E117" s="50">
        <v>0</v>
      </c>
      <c r="F117" s="49">
        <v>0</v>
      </c>
      <c r="G117" s="51">
        <v>0</v>
      </c>
      <c r="H117" s="36">
        <f>(C117+G117)</f>
        <v>0</v>
      </c>
      <c r="I117" s="36">
        <v>0</v>
      </c>
      <c r="J117" s="57">
        <v>0</v>
      </c>
      <c r="K117" s="72">
        <f>(I117+J117)</f>
        <v>0</v>
      </c>
      <c r="L117" s="58">
        <v>0</v>
      </c>
      <c r="M117" s="58">
        <v>0</v>
      </c>
      <c r="N117" s="51">
        <f>(L117+M117)</f>
        <v>0</v>
      </c>
      <c r="O117" s="36">
        <v>0</v>
      </c>
      <c r="P117" s="59">
        <f t="shared" si="30"/>
        <v>0</v>
      </c>
    </row>
    <row r="118" spans="1:16" s="1" customFormat="1" x14ac:dyDescent="0.2">
      <c r="A118" s="38" t="s">
        <v>176</v>
      </c>
      <c r="B118" s="39" t="s">
        <v>177</v>
      </c>
      <c r="C118" s="110">
        <f>(C119+C122)</f>
        <v>93200000</v>
      </c>
      <c r="D118" s="40">
        <v>0</v>
      </c>
      <c r="E118" s="41">
        <v>0</v>
      </c>
      <c r="F118" s="40">
        <v>0</v>
      </c>
      <c r="G118" s="40">
        <v>0</v>
      </c>
      <c r="H118" s="34">
        <f t="shared" ref="H118:N118" si="40">(H119+H122)</f>
        <v>302200000</v>
      </c>
      <c r="I118" s="34">
        <f t="shared" si="40"/>
        <v>54739386</v>
      </c>
      <c r="J118" s="34">
        <f t="shared" si="40"/>
        <v>24072175</v>
      </c>
      <c r="K118" s="43">
        <f t="shared" si="40"/>
        <v>78811561</v>
      </c>
      <c r="L118" s="61">
        <f t="shared" si="40"/>
        <v>2944915</v>
      </c>
      <c r="M118" s="34">
        <f t="shared" si="40"/>
        <v>24072175</v>
      </c>
      <c r="N118" s="42">
        <f t="shared" si="40"/>
        <v>27017090</v>
      </c>
      <c r="O118" s="34">
        <f t="shared" si="28"/>
        <v>223388439</v>
      </c>
      <c r="P118" s="62">
        <f t="shared" si="30"/>
        <v>51794471</v>
      </c>
    </row>
    <row r="119" spans="1:16" s="1" customFormat="1" x14ac:dyDescent="0.2">
      <c r="A119" s="38" t="s">
        <v>178</v>
      </c>
      <c r="B119" s="39" t="s">
        <v>179</v>
      </c>
      <c r="C119" s="110">
        <f>(C120+C121)</f>
        <v>90000000</v>
      </c>
      <c r="D119" s="40">
        <v>0</v>
      </c>
      <c r="E119" s="41">
        <v>0</v>
      </c>
      <c r="F119" s="40">
        <v>0</v>
      </c>
      <c r="G119" s="40">
        <v>0</v>
      </c>
      <c r="H119" s="34">
        <f t="shared" ref="H119:N119" si="41">(H120+H121)</f>
        <v>295000000</v>
      </c>
      <c r="I119" s="34">
        <f t="shared" si="41"/>
        <v>50991071</v>
      </c>
      <c r="J119" s="61">
        <f t="shared" si="41"/>
        <v>24072175</v>
      </c>
      <c r="K119" s="66">
        <f t="shared" si="41"/>
        <v>75063246</v>
      </c>
      <c r="L119" s="61">
        <f t="shared" si="41"/>
        <v>0</v>
      </c>
      <c r="M119" s="34">
        <f t="shared" si="41"/>
        <v>24072175</v>
      </c>
      <c r="N119" s="42">
        <f t="shared" si="41"/>
        <v>24072175</v>
      </c>
      <c r="O119" s="34">
        <f t="shared" si="28"/>
        <v>219936754</v>
      </c>
      <c r="P119" s="62">
        <f t="shared" si="30"/>
        <v>50991071</v>
      </c>
    </row>
    <row r="120" spans="1:16" x14ac:dyDescent="0.2">
      <c r="A120" s="46" t="s">
        <v>180</v>
      </c>
      <c r="B120" s="47" t="s">
        <v>181</v>
      </c>
      <c r="C120" s="112">
        <v>90000000</v>
      </c>
      <c r="D120" s="133">
        <v>145000000</v>
      </c>
      <c r="E120" s="50">
        <v>0</v>
      </c>
      <c r="F120" s="49">
        <v>0</v>
      </c>
      <c r="G120" s="36">
        <v>350000000</v>
      </c>
      <c r="H120" s="36">
        <f>(C120+G120)-D120</f>
        <v>295000000</v>
      </c>
      <c r="I120" s="36">
        <v>50991071</v>
      </c>
      <c r="J120" s="57">
        <v>24072175</v>
      </c>
      <c r="K120" s="64">
        <f>(I120+J120)</f>
        <v>75063246</v>
      </c>
      <c r="L120" s="58">
        <v>0</v>
      </c>
      <c r="M120" s="36">
        <v>24072175</v>
      </c>
      <c r="N120" s="58">
        <f>(L120+M120)</f>
        <v>24072175</v>
      </c>
      <c r="O120" s="36">
        <f t="shared" si="28"/>
        <v>219936754</v>
      </c>
      <c r="P120" s="59">
        <f t="shared" si="30"/>
        <v>50991071</v>
      </c>
    </row>
    <row r="121" spans="1:16" x14ac:dyDescent="0.2">
      <c r="A121" s="46" t="s">
        <v>228</v>
      </c>
      <c r="B121" s="47" t="s">
        <v>220</v>
      </c>
      <c r="C121" s="116">
        <v>0</v>
      </c>
      <c r="D121" s="49">
        <v>0</v>
      </c>
      <c r="E121" s="50">
        <v>0</v>
      </c>
      <c r="F121" s="49">
        <v>0</v>
      </c>
      <c r="G121" s="49">
        <v>0</v>
      </c>
      <c r="H121" s="36">
        <f>(C121+G121)</f>
        <v>0</v>
      </c>
      <c r="I121" s="36">
        <v>0</v>
      </c>
      <c r="J121" s="57">
        <v>0</v>
      </c>
      <c r="K121" s="64">
        <f>(I121+J121)</f>
        <v>0</v>
      </c>
      <c r="L121" s="58">
        <v>0</v>
      </c>
      <c r="M121" s="58">
        <v>0</v>
      </c>
      <c r="N121" s="58">
        <f>(L121+M121)</f>
        <v>0</v>
      </c>
      <c r="O121" s="36">
        <v>0</v>
      </c>
      <c r="P121" s="59">
        <v>0</v>
      </c>
    </row>
    <row r="122" spans="1:16" s="1" customFormat="1" x14ac:dyDescent="0.2">
      <c r="A122" s="38" t="s">
        <v>182</v>
      </c>
      <c r="B122" s="39" t="s">
        <v>183</v>
      </c>
      <c r="C122" s="111">
        <f>+C123</f>
        <v>3200000</v>
      </c>
      <c r="D122" s="40">
        <v>0</v>
      </c>
      <c r="E122" s="41">
        <v>0</v>
      </c>
      <c r="F122" s="40">
        <v>0</v>
      </c>
      <c r="G122" s="40">
        <v>0</v>
      </c>
      <c r="H122" s="34">
        <f>+H123</f>
        <v>7200000</v>
      </c>
      <c r="I122" s="34">
        <f>SUM(I123+I124)</f>
        <v>3748315</v>
      </c>
      <c r="J122" s="34">
        <f>SUM(J123+J124)</f>
        <v>0</v>
      </c>
      <c r="K122" s="48">
        <f>(I122+J122)</f>
        <v>3748315</v>
      </c>
      <c r="L122" s="61">
        <f>SUM(L123+L124)</f>
        <v>2944915</v>
      </c>
      <c r="M122" s="61">
        <f>SUM(M123+M124)</f>
        <v>0</v>
      </c>
      <c r="N122" s="58">
        <f>(L122+M122)</f>
        <v>2944915</v>
      </c>
      <c r="O122" s="34">
        <f t="shared" si="28"/>
        <v>3451685</v>
      </c>
      <c r="P122" s="62">
        <f t="shared" si="30"/>
        <v>803400</v>
      </c>
    </row>
    <row r="123" spans="1:16" x14ac:dyDescent="0.2">
      <c r="A123" s="46" t="s">
        <v>254</v>
      </c>
      <c r="B123" s="47" t="s">
        <v>255</v>
      </c>
      <c r="C123" s="112">
        <v>3200000</v>
      </c>
      <c r="D123" s="49">
        <v>0</v>
      </c>
      <c r="E123" s="50">
        <v>0</v>
      </c>
      <c r="F123" s="49">
        <v>0</v>
      </c>
      <c r="G123" s="49">
        <v>4000000</v>
      </c>
      <c r="H123" s="36">
        <f>(C123+G123)+E123</f>
        <v>7200000</v>
      </c>
      <c r="I123" s="36">
        <v>3748315</v>
      </c>
      <c r="J123" s="52">
        <v>0</v>
      </c>
      <c r="K123" s="48">
        <f>(I123+J123)</f>
        <v>3748315</v>
      </c>
      <c r="L123" s="58">
        <v>2944915</v>
      </c>
      <c r="M123" s="58">
        <v>0</v>
      </c>
      <c r="N123" s="58">
        <f>(L123+M123)</f>
        <v>2944915</v>
      </c>
      <c r="O123" s="36">
        <f t="shared" si="28"/>
        <v>3451685</v>
      </c>
      <c r="P123" s="59">
        <f t="shared" si="30"/>
        <v>803400</v>
      </c>
    </row>
    <row r="124" spans="1:16" x14ac:dyDescent="0.2">
      <c r="A124" s="46"/>
      <c r="B124" s="47" t="s">
        <v>220</v>
      </c>
      <c r="C124" s="112"/>
      <c r="D124" s="49"/>
      <c r="E124" s="50"/>
      <c r="F124" s="49"/>
      <c r="G124" s="49">
        <v>0</v>
      </c>
      <c r="H124" s="36">
        <f>(C124+G124)</f>
        <v>0</v>
      </c>
      <c r="I124" s="36">
        <v>0</v>
      </c>
      <c r="J124" s="65"/>
      <c r="K124" s="64">
        <f>(I124+J124)</f>
        <v>0</v>
      </c>
      <c r="L124" s="58">
        <v>0</v>
      </c>
      <c r="M124" s="49"/>
      <c r="N124" s="49"/>
      <c r="O124" s="36">
        <f t="shared" si="28"/>
        <v>0</v>
      </c>
      <c r="P124" s="59"/>
    </row>
    <row r="125" spans="1:16" s="1" customFormat="1" x14ac:dyDescent="0.2">
      <c r="A125" s="38" t="s">
        <v>184</v>
      </c>
      <c r="B125" s="39" t="s">
        <v>185</v>
      </c>
      <c r="C125" s="111">
        <f>C126</f>
        <v>1898594349</v>
      </c>
      <c r="D125" s="40">
        <v>0</v>
      </c>
      <c r="E125" s="41">
        <v>0</v>
      </c>
      <c r="F125" s="40">
        <v>0</v>
      </c>
      <c r="G125" s="40">
        <v>0</v>
      </c>
      <c r="H125" s="34">
        <f>(H126)</f>
        <v>2809450082</v>
      </c>
      <c r="I125" s="34">
        <f t="shared" ref="I125:N126" si="42">(I126)</f>
        <v>2599126194</v>
      </c>
      <c r="J125" s="54">
        <f t="shared" si="42"/>
        <v>225696567</v>
      </c>
      <c r="K125" s="43">
        <f t="shared" si="42"/>
        <v>2824822761</v>
      </c>
      <c r="L125" s="34">
        <f t="shared" si="42"/>
        <v>796966845</v>
      </c>
      <c r="M125" s="34">
        <f t="shared" si="42"/>
        <v>45272329</v>
      </c>
      <c r="N125" s="34">
        <f t="shared" si="42"/>
        <v>842239174</v>
      </c>
      <c r="O125" s="34">
        <f t="shared" si="28"/>
        <v>-15372679</v>
      </c>
      <c r="P125" s="62">
        <f t="shared" si="30"/>
        <v>1982583587</v>
      </c>
    </row>
    <row r="126" spans="1:16" s="1" customFormat="1" x14ac:dyDescent="0.2">
      <c r="A126" s="38" t="s">
        <v>186</v>
      </c>
      <c r="B126" s="39" t="s">
        <v>187</v>
      </c>
      <c r="C126" s="111">
        <f>C127</f>
        <v>1898594349</v>
      </c>
      <c r="D126" s="40">
        <v>0</v>
      </c>
      <c r="E126" s="41">
        <v>0</v>
      </c>
      <c r="F126" s="40">
        <v>0</v>
      </c>
      <c r="G126" s="40">
        <v>0</v>
      </c>
      <c r="H126" s="34">
        <f>(H127)</f>
        <v>2809450082</v>
      </c>
      <c r="I126" s="34">
        <f t="shared" si="42"/>
        <v>2599126194</v>
      </c>
      <c r="J126" s="54">
        <f t="shared" si="42"/>
        <v>225696567</v>
      </c>
      <c r="K126" s="43">
        <f t="shared" si="42"/>
        <v>2824822761</v>
      </c>
      <c r="L126" s="34">
        <f t="shared" si="42"/>
        <v>796966845</v>
      </c>
      <c r="M126" s="34">
        <f t="shared" si="42"/>
        <v>45272329</v>
      </c>
      <c r="N126" s="34">
        <f t="shared" si="42"/>
        <v>842239174</v>
      </c>
      <c r="O126" s="34">
        <f t="shared" si="28"/>
        <v>-15372679</v>
      </c>
      <c r="P126" s="62">
        <f t="shared" si="30"/>
        <v>1982583587</v>
      </c>
    </row>
    <row r="127" spans="1:16" s="1" customFormat="1" x14ac:dyDescent="0.2">
      <c r="A127" s="38" t="s">
        <v>188</v>
      </c>
      <c r="B127" s="39" t="s">
        <v>189</v>
      </c>
      <c r="C127" s="111">
        <f>SUM(C128:C132)</f>
        <v>1898594349</v>
      </c>
      <c r="D127" s="40">
        <v>0</v>
      </c>
      <c r="E127" s="41">
        <v>0</v>
      </c>
      <c r="F127" s="40">
        <v>0</v>
      </c>
      <c r="G127" s="40">
        <v>0</v>
      </c>
      <c r="H127" s="34">
        <f t="shared" ref="H127:N127" si="43">(H128+H129+H130+H131+H132)</f>
        <v>2809450082</v>
      </c>
      <c r="I127" s="34">
        <f t="shared" si="43"/>
        <v>2599126194</v>
      </c>
      <c r="J127" s="34">
        <f t="shared" si="43"/>
        <v>225696567</v>
      </c>
      <c r="K127" s="54">
        <f t="shared" si="43"/>
        <v>2824822761</v>
      </c>
      <c r="L127" s="34">
        <f t="shared" si="43"/>
        <v>796966845</v>
      </c>
      <c r="M127" s="34">
        <f t="shared" si="43"/>
        <v>45272329</v>
      </c>
      <c r="N127" s="34">
        <f t="shared" si="43"/>
        <v>842239174</v>
      </c>
      <c r="O127" s="34">
        <f t="shared" si="28"/>
        <v>-15372679</v>
      </c>
      <c r="P127" s="62">
        <f t="shared" si="30"/>
        <v>1982583587</v>
      </c>
    </row>
    <row r="128" spans="1:16" x14ac:dyDescent="0.2">
      <c r="A128" s="46" t="s">
        <v>190</v>
      </c>
      <c r="B128" s="47" t="s">
        <v>191</v>
      </c>
      <c r="C128" s="112">
        <v>1178594349</v>
      </c>
      <c r="D128" s="49">
        <v>0</v>
      </c>
      <c r="E128" s="147">
        <v>100000000</v>
      </c>
      <c r="F128" s="49">
        <v>0</v>
      </c>
      <c r="G128" s="36">
        <v>497970024</v>
      </c>
      <c r="H128" s="36">
        <f>(C128+G128)+E128</f>
        <v>1776564373</v>
      </c>
      <c r="I128" s="36">
        <v>1698981830</v>
      </c>
      <c r="J128" s="52">
        <v>95583259</v>
      </c>
      <c r="K128" s="48">
        <f>(I128+J128)</f>
        <v>1794565089</v>
      </c>
      <c r="L128" s="36">
        <v>505181766</v>
      </c>
      <c r="M128" s="36">
        <v>13057391</v>
      </c>
      <c r="N128" s="36">
        <f t="shared" ref="N128:N134" si="44">(L128+M128)</f>
        <v>518239157</v>
      </c>
      <c r="O128" s="67">
        <f t="shared" si="28"/>
        <v>-18000716</v>
      </c>
      <c r="P128" s="59">
        <f t="shared" si="30"/>
        <v>1276325932</v>
      </c>
    </row>
    <row r="129" spans="1:16" x14ac:dyDescent="0.2">
      <c r="A129" s="46" t="s">
        <v>192</v>
      </c>
      <c r="B129" s="47" t="s">
        <v>193</v>
      </c>
      <c r="C129" s="112">
        <v>400000000</v>
      </c>
      <c r="D129" s="49">
        <v>0</v>
      </c>
      <c r="E129" s="147">
        <v>20000000</v>
      </c>
      <c r="F129" s="49">
        <v>0</v>
      </c>
      <c r="G129" s="36">
        <v>80000000</v>
      </c>
      <c r="H129" s="36">
        <f>(C129+G129)+E129</f>
        <v>500000000</v>
      </c>
      <c r="I129" s="36">
        <v>474478723</v>
      </c>
      <c r="J129" s="52">
        <v>49519543</v>
      </c>
      <c r="K129" s="48">
        <f>(I129+J129)</f>
        <v>523998266</v>
      </c>
      <c r="L129" s="36">
        <v>114947832</v>
      </c>
      <c r="M129" s="36">
        <v>4373438</v>
      </c>
      <c r="N129" s="36">
        <f t="shared" si="44"/>
        <v>119321270</v>
      </c>
      <c r="O129" s="67">
        <f t="shared" si="28"/>
        <v>-23998266</v>
      </c>
      <c r="P129" s="59">
        <f t="shared" si="30"/>
        <v>404676996</v>
      </c>
    </row>
    <row r="130" spans="1:16" x14ac:dyDescent="0.2">
      <c r="A130" s="46" t="s">
        <v>194</v>
      </c>
      <c r="B130" s="47" t="s">
        <v>195</v>
      </c>
      <c r="C130" s="112">
        <v>150000000</v>
      </c>
      <c r="D130" s="49">
        <v>0</v>
      </c>
      <c r="E130" s="65">
        <v>0</v>
      </c>
      <c r="F130" s="49">
        <v>0</v>
      </c>
      <c r="G130" s="36">
        <v>70000000</v>
      </c>
      <c r="H130" s="36">
        <f>(C130+G130)</f>
        <v>220000000</v>
      </c>
      <c r="I130" s="36">
        <v>204728115</v>
      </c>
      <c r="J130" s="52">
        <v>40490004</v>
      </c>
      <c r="K130" s="48">
        <f>(I130+J130)</f>
        <v>245218119</v>
      </c>
      <c r="L130" s="36">
        <v>27776640</v>
      </c>
      <c r="M130" s="36">
        <v>11900000</v>
      </c>
      <c r="N130" s="36">
        <f t="shared" si="44"/>
        <v>39676640</v>
      </c>
      <c r="O130" s="36">
        <f t="shared" si="28"/>
        <v>-25218119</v>
      </c>
      <c r="P130" s="59">
        <f t="shared" si="30"/>
        <v>205541479</v>
      </c>
    </row>
    <row r="131" spans="1:16" x14ac:dyDescent="0.2">
      <c r="A131" s="46" t="s">
        <v>196</v>
      </c>
      <c r="B131" s="47" t="s">
        <v>197</v>
      </c>
      <c r="C131" s="112">
        <v>170000000</v>
      </c>
      <c r="D131" s="133">
        <v>50000000</v>
      </c>
      <c r="E131" s="50">
        <v>0</v>
      </c>
      <c r="F131" s="49">
        <v>0</v>
      </c>
      <c r="G131" s="36">
        <v>90514935</v>
      </c>
      <c r="H131" s="36">
        <f>(C131+G131)-D131</f>
        <v>210514935</v>
      </c>
      <c r="I131" s="36">
        <v>170000000</v>
      </c>
      <c r="J131" s="52">
        <v>40103761</v>
      </c>
      <c r="K131" s="48">
        <f>(I131+J131)</f>
        <v>210103761</v>
      </c>
      <c r="L131" s="36">
        <v>117470457</v>
      </c>
      <c r="M131" s="36">
        <v>15941500</v>
      </c>
      <c r="N131" s="36">
        <f t="shared" si="44"/>
        <v>133411957</v>
      </c>
      <c r="O131" s="36">
        <f t="shared" si="28"/>
        <v>411174</v>
      </c>
      <c r="P131" s="59">
        <f t="shared" si="30"/>
        <v>76691804</v>
      </c>
    </row>
    <row r="132" spans="1:16" x14ac:dyDescent="0.2">
      <c r="A132" s="46" t="s">
        <v>229</v>
      </c>
      <c r="B132" s="47" t="s">
        <v>220</v>
      </c>
      <c r="C132" s="112">
        <v>0</v>
      </c>
      <c r="D132" s="133">
        <v>51433248</v>
      </c>
      <c r="E132" s="50">
        <v>0</v>
      </c>
      <c r="F132" s="49">
        <v>0</v>
      </c>
      <c r="G132" s="36">
        <v>102370774</v>
      </c>
      <c r="H132" s="36">
        <f>(C132+G132)</f>
        <v>102370774</v>
      </c>
      <c r="I132" s="36">
        <v>50937526</v>
      </c>
      <c r="J132" s="52">
        <v>0</v>
      </c>
      <c r="K132" s="48">
        <f>(I132+J132)</f>
        <v>50937526</v>
      </c>
      <c r="L132" s="51">
        <v>31590150</v>
      </c>
      <c r="M132" s="36">
        <v>0</v>
      </c>
      <c r="N132" s="36">
        <f t="shared" si="44"/>
        <v>31590150</v>
      </c>
      <c r="O132" s="36">
        <v>0</v>
      </c>
      <c r="P132" s="59">
        <v>0</v>
      </c>
    </row>
    <row r="133" spans="1:16" s="1" customFormat="1" x14ac:dyDescent="0.2">
      <c r="A133" s="38" t="s">
        <v>198</v>
      </c>
      <c r="B133" s="39" t="s">
        <v>199</v>
      </c>
      <c r="C133" s="111">
        <f>C134</f>
        <v>0</v>
      </c>
      <c r="D133" s="40">
        <v>0</v>
      </c>
      <c r="E133" s="41">
        <v>0</v>
      </c>
      <c r="F133" s="40">
        <v>0</v>
      </c>
      <c r="G133" s="40">
        <v>0</v>
      </c>
      <c r="H133" s="34">
        <f>(H138+H134)</f>
        <v>2854355869.9299998</v>
      </c>
      <c r="I133" s="34">
        <f>SUM(I134+I138)</f>
        <v>1998047970</v>
      </c>
      <c r="J133" s="34">
        <f>SUM(J134+J138)</f>
        <v>680959869</v>
      </c>
      <c r="K133" s="34">
        <f>(K134+K138)</f>
        <v>2679007839</v>
      </c>
      <c r="L133" s="42">
        <f>(L134+L138)</f>
        <v>823129744</v>
      </c>
      <c r="M133" s="34">
        <f>SUM(M134+M138)</f>
        <v>60236287</v>
      </c>
      <c r="N133" s="36">
        <f t="shared" si="44"/>
        <v>883366031</v>
      </c>
      <c r="O133" s="34">
        <f t="shared" si="28"/>
        <v>175348030.92999983</v>
      </c>
      <c r="P133" s="62">
        <f t="shared" si="30"/>
        <v>1795641808</v>
      </c>
    </row>
    <row r="134" spans="1:16" s="1" customFormat="1" x14ac:dyDescent="0.2">
      <c r="A134" s="38" t="s">
        <v>200</v>
      </c>
      <c r="B134" s="39" t="s">
        <v>201</v>
      </c>
      <c r="C134" s="111">
        <f>SUM(C135+C138)</f>
        <v>0</v>
      </c>
      <c r="D134" s="40">
        <v>0</v>
      </c>
      <c r="E134" s="41">
        <v>0</v>
      </c>
      <c r="F134" s="40">
        <v>0</v>
      </c>
      <c r="G134" s="40">
        <v>0</v>
      </c>
      <c r="H134" s="34">
        <f>(H135)</f>
        <v>1884739706</v>
      </c>
      <c r="I134" s="34">
        <f>I135</f>
        <v>1436783447</v>
      </c>
      <c r="J134" s="34">
        <f>J135</f>
        <v>192073530</v>
      </c>
      <c r="K134" s="34">
        <f>(K135)</f>
        <v>1628856977</v>
      </c>
      <c r="L134" s="42">
        <f>(L135)</f>
        <v>821629744</v>
      </c>
      <c r="M134" s="34">
        <f>M135</f>
        <v>21836287</v>
      </c>
      <c r="N134" s="36">
        <f t="shared" si="44"/>
        <v>843466031</v>
      </c>
      <c r="O134" s="34">
        <f t="shared" si="28"/>
        <v>255882729</v>
      </c>
      <c r="P134" s="62">
        <f t="shared" si="30"/>
        <v>785390946</v>
      </c>
    </row>
    <row r="135" spans="1:16" s="1" customFormat="1" x14ac:dyDescent="0.2">
      <c r="A135" s="38" t="s">
        <v>202</v>
      </c>
      <c r="B135" s="39" t="s">
        <v>203</v>
      </c>
      <c r="C135" s="111">
        <f>SUM(C136+C137)</f>
        <v>0</v>
      </c>
      <c r="D135" s="40">
        <v>0</v>
      </c>
      <c r="E135" s="41">
        <v>0</v>
      </c>
      <c r="F135" s="40">
        <v>0</v>
      </c>
      <c r="G135" s="40">
        <v>0</v>
      </c>
      <c r="H135" s="34">
        <f>(H136+H137)</f>
        <v>1884739706</v>
      </c>
      <c r="I135" s="34">
        <f>SUM(I136+I137)</f>
        <v>1436783447</v>
      </c>
      <c r="J135" s="34">
        <f>(J136+J137)</f>
        <v>192073530</v>
      </c>
      <c r="K135" s="48">
        <f>(I135+J135)</f>
        <v>1628856977</v>
      </c>
      <c r="L135" s="42">
        <f>(L136+L137)</f>
        <v>821629744</v>
      </c>
      <c r="M135" s="34">
        <f>(M136+M137)</f>
        <v>21836287</v>
      </c>
      <c r="N135" s="34">
        <f>(N136+N137)</f>
        <v>843466031</v>
      </c>
      <c r="O135" s="34">
        <f t="shared" si="28"/>
        <v>255882729</v>
      </c>
      <c r="P135" s="62">
        <f t="shared" si="30"/>
        <v>785390946</v>
      </c>
    </row>
    <row r="136" spans="1:16" s="6" customFormat="1" x14ac:dyDescent="0.2">
      <c r="A136" s="46" t="s">
        <v>204</v>
      </c>
      <c r="B136" s="91" t="s">
        <v>205</v>
      </c>
      <c r="C136" s="112">
        <v>0</v>
      </c>
      <c r="D136" s="49">
        <v>0</v>
      </c>
      <c r="E136" s="50">
        <v>0</v>
      </c>
      <c r="F136" s="49">
        <v>0</v>
      </c>
      <c r="G136" s="36">
        <v>563729706</v>
      </c>
      <c r="H136" s="36">
        <f>(C136+G136)</f>
        <v>563729706</v>
      </c>
      <c r="I136" s="36">
        <v>424509144</v>
      </c>
      <c r="J136" s="58">
        <v>192073530</v>
      </c>
      <c r="K136" s="48">
        <f>(I136+J136)</f>
        <v>616582674</v>
      </c>
      <c r="L136" s="58">
        <v>0</v>
      </c>
      <c r="M136" s="36">
        <v>21836287</v>
      </c>
      <c r="N136" s="36">
        <f>(L136+M136)</f>
        <v>21836287</v>
      </c>
      <c r="O136" s="36">
        <f t="shared" si="28"/>
        <v>-52852968</v>
      </c>
      <c r="P136" s="59">
        <f t="shared" si="30"/>
        <v>594746387</v>
      </c>
    </row>
    <row r="137" spans="1:16" x14ac:dyDescent="0.2">
      <c r="A137" s="46" t="s">
        <v>230</v>
      </c>
      <c r="B137" s="91" t="s">
        <v>220</v>
      </c>
      <c r="C137" s="112">
        <v>0</v>
      </c>
      <c r="D137" s="49">
        <v>0</v>
      </c>
      <c r="E137" s="50">
        <v>0</v>
      </c>
      <c r="F137" s="49">
        <v>0</v>
      </c>
      <c r="G137" s="36">
        <v>1321010000</v>
      </c>
      <c r="H137" s="36">
        <f>(C137+G137)</f>
        <v>1321010000</v>
      </c>
      <c r="I137" s="36">
        <v>1012274303</v>
      </c>
      <c r="J137" s="58">
        <v>0</v>
      </c>
      <c r="K137" s="48">
        <f>(I137+J137)</f>
        <v>1012274303</v>
      </c>
      <c r="L137" s="58">
        <v>821629744</v>
      </c>
      <c r="M137" s="59">
        <v>0</v>
      </c>
      <c r="N137" s="36">
        <f>(L137+M137)</f>
        <v>821629744</v>
      </c>
      <c r="O137" s="67">
        <f t="shared" si="28"/>
        <v>308735697</v>
      </c>
      <c r="P137" s="92">
        <f t="shared" si="30"/>
        <v>190644559</v>
      </c>
    </row>
    <row r="138" spans="1:16" s="1" customFormat="1" x14ac:dyDescent="0.2">
      <c r="A138" s="38" t="s">
        <v>239</v>
      </c>
      <c r="B138" s="93" t="s">
        <v>242</v>
      </c>
      <c r="C138" s="111">
        <v>0</v>
      </c>
      <c r="D138" s="94">
        <v>0</v>
      </c>
      <c r="E138" s="94">
        <v>0</v>
      </c>
      <c r="F138" s="94">
        <v>0</v>
      </c>
      <c r="G138" s="94">
        <v>0</v>
      </c>
      <c r="H138" s="34">
        <f>H139</f>
        <v>969616163.92999995</v>
      </c>
      <c r="I138" s="43">
        <f>(I139)</f>
        <v>561264523</v>
      </c>
      <c r="J138" s="89">
        <f>(J139)</f>
        <v>488886339</v>
      </c>
      <c r="K138" s="89">
        <f>(K139)</f>
        <v>1050150862</v>
      </c>
      <c r="L138" s="89">
        <f>(L139)</f>
        <v>1500000</v>
      </c>
      <c r="M138" s="89">
        <f>(M139)</f>
        <v>38400000</v>
      </c>
      <c r="N138" s="43">
        <f>N139</f>
        <v>39900000</v>
      </c>
      <c r="O138" s="67">
        <f t="shared" si="28"/>
        <v>-80534698.070000052</v>
      </c>
      <c r="P138" s="92">
        <f t="shared" si="30"/>
        <v>1010250862</v>
      </c>
    </row>
    <row r="139" spans="1:16" s="1" customFormat="1" x14ac:dyDescent="0.2">
      <c r="A139" s="38" t="s">
        <v>240</v>
      </c>
      <c r="B139" s="93" t="s">
        <v>242</v>
      </c>
      <c r="C139" s="111">
        <v>0</v>
      </c>
      <c r="D139" s="94">
        <v>0</v>
      </c>
      <c r="E139" s="94">
        <v>0</v>
      </c>
      <c r="F139" s="94">
        <v>0</v>
      </c>
      <c r="G139" s="94">
        <v>0</v>
      </c>
      <c r="H139" s="34">
        <f>SUM(H140+H141)</f>
        <v>969616163.92999995</v>
      </c>
      <c r="I139" s="43">
        <f>(I140+I141)</f>
        <v>561264523</v>
      </c>
      <c r="J139" s="89">
        <f>(J140+J141)</f>
        <v>488886339</v>
      </c>
      <c r="K139" s="89">
        <f>(I139+J139)</f>
        <v>1050150862</v>
      </c>
      <c r="L139" s="89">
        <f>(L140+L141)</f>
        <v>1500000</v>
      </c>
      <c r="M139" s="89">
        <f>(M140+M141)</f>
        <v>38400000</v>
      </c>
      <c r="N139" s="36">
        <f>(L139+M139)</f>
        <v>39900000</v>
      </c>
      <c r="O139" s="67">
        <f t="shared" si="28"/>
        <v>-80534698.070000052</v>
      </c>
      <c r="P139" s="92">
        <f t="shared" si="30"/>
        <v>1010250862</v>
      </c>
    </row>
    <row r="140" spans="1:16" s="1" customFormat="1" ht="12" thickBot="1" x14ac:dyDescent="0.25">
      <c r="A140" s="95" t="s">
        <v>241</v>
      </c>
      <c r="B140" s="96" t="s">
        <v>243</v>
      </c>
      <c r="C140" s="117">
        <v>0</v>
      </c>
      <c r="D140" s="97">
        <v>0</v>
      </c>
      <c r="E140" s="97">
        <v>0</v>
      </c>
      <c r="F140" s="97">
        <v>0</v>
      </c>
      <c r="G140" s="128">
        <v>968116163.92999995</v>
      </c>
      <c r="H140" s="36">
        <f>(C140+G140)</f>
        <v>968116163.92999995</v>
      </c>
      <c r="I140" s="128">
        <v>559764523</v>
      </c>
      <c r="J140" s="98">
        <v>488886339</v>
      </c>
      <c r="K140" s="139">
        <f>(I140+J140)</f>
        <v>1048650862</v>
      </c>
      <c r="L140" s="98">
        <v>0</v>
      </c>
      <c r="M140" s="43">
        <v>38400000</v>
      </c>
      <c r="N140" s="51">
        <f>(L140+M140)</f>
        <v>38400000</v>
      </c>
      <c r="O140" s="67">
        <f t="shared" si="28"/>
        <v>-80534698.070000052</v>
      </c>
      <c r="P140" s="92">
        <f t="shared" si="30"/>
        <v>1010250862</v>
      </c>
    </row>
    <row r="141" spans="1:16" ht="12" thickBot="1" x14ac:dyDescent="0.25">
      <c r="A141" s="95" t="s">
        <v>245</v>
      </c>
      <c r="B141" s="96" t="s">
        <v>220</v>
      </c>
      <c r="C141" s="117">
        <v>0</v>
      </c>
      <c r="D141" s="97">
        <v>0</v>
      </c>
      <c r="E141" s="97">
        <v>0</v>
      </c>
      <c r="F141" s="97">
        <v>0</v>
      </c>
      <c r="G141" s="128">
        <v>1500000</v>
      </c>
      <c r="H141" s="36">
        <f>(C141+G141)</f>
        <v>1500000</v>
      </c>
      <c r="I141" s="128">
        <v>1500000</v>
      </c>
      <c r="J141" s="98">
        <v>0</v>
      </c>
      <c r="K141" s="99">
        <f>(I141+J141)</f>
        <v>1500000</v>
      </c>
      <c r="L141" s="98">
        <v>1500000</v>
      </c>
      <c r="M141" s="100">
        <v>0</v>
      </c>
      <c r="N141" s="36">
        <f>(L141+M141)</f>
        <v>1500000</v>
      </c>
      <c r="O141" s="56">
        <f t="shared" si="28"/>
        <v>0</v>
      </c>
      <c r="P141" s="92">
        <f t="shared" si="30"/>
        <v>0</v>
      </c>
    </row>
    <row r="142" spans="1:16" x14ac:dyDescent="0.2">
      <c r="A142" s="91"/>
      <c r="B142" s="91"/>
      <c r="C142" s="118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101"/>
      <c r="P142" s="47"/>
    </row>
    <row r="143" spans="1:16" x14ac:dyDescent="0.2">
      <c r="A143" s="102" t="s">
        <v>262</v>
      </c>
      <c r="B143" s="96"/>
      <c r="C143" s="119"/>
      <c r="D143" s="96"/>
      <c r="E143" s="96"/>
      <c r="F143" s="96"/>
      <c r="G143" s="96"/>
      <c r="H143" s="96"/>
      <c r="I143" s="96" t="s">
        <v>260</v>
      </c>
      <c r="J143" s="96"/>
      <c r="K143" s="96"/>
      <c r="L143" s="96"/>
      <c r="M143" s="96"/>
      <c r="N143" s="96"/>
      <c r="O143" s="103"/>
      <c r="P143" s="104"/>
    </row>
    <row r="145" spans="2:13" x14ac:dyDescent="0.2">
      <c r="G145" s="3"/>
    </row>
    <row r="146" spans="2:13" x14ac:dyDescent="0.2">
      <c r="B146" s="2" t="s">
        <v>231</v>
      </c>
      <c r="C146" s="121">
        <f>+J21+J53-D34-D67</f>
        <v>412872</v>
      </c>
      <c r="G146" s="2" t="s">
        <v>238</v>
      </c>
      <c r="J146" s="11">
        <f>+K13+K45-K26-K59</f>
        <v>2382725706</v>
      </c>
      <c r="M146" s="11">
        <f>+M13+M45-M26-M59</f>
        <v>93675396</v>
      </c>
    </row>
    <row r="147" spans="2:13" x14ac:dyDescent="0.2">
      <c r="B147" s="2" t="s">
        <v>232</v>
      </c>
      <c r="C147" s="122">
        <f>+J22+J54-D35-D68</f>
        <v>0</v>
      </c>
      <c r="G147" s="3"/>
      <c r="H147" s="3"/>
      <c r="J147" s="11">
        <f>+K26+K59-K63-K30</f>
        <v>5721566854</v>
      </c>
      <c r="M147" s="11">
        <f>+M26+M59-M63-M30</f>
        <v>0</v>
      </c>
    </row>
    <row r="148" spans="2:13" x14ac:dyDescent="0.2">
      <c r="B148" s="2" t="s">
        <v>234</v>
      </c>
      <c r="C148" s="121">
        <f>+J93-J110-J119-J125</f>
        <v>-200480515</v>
      </c>
      <c r="G148" s="3"/>
      <c r="J148" s="11">
        <f>+K85-K102-K111-K117</f>
        <v>2946426296</v>
      </c>
      <c r="M148" s="11">
        <f>+M85-M102-M111-M117</f>
        <v>1643000</v>
      </c>
    </row>
    <row r="149" spans="2:13" x14ac:dyDescent="0.2">
      <c r="B149" s="2" t="s">
        <v>233</v>
      </c>
      <c r="C149" s="122">
        <f>+J126</f>
        <v>225696567</v>
      </c>
      <c r="G149" s="3"/>
      <c r="J149" s="11">
        <f>+K118</f>
        <v>78811561</v>
      </c>
      <c r="M149" s="11">
        <f>+M118</f>
        <v>24072175</v>
      </c>
    </row>
    <row r="150" spans="2:13" x14ac:dyDescent="0.2">
      <c r="B150" s="2" t="s">
        <v>235</v>
      </c>
      <c r="C150" s="121">
        <f>+J133-J140</f>
        <v>192073530</v>
      </c>
      <c r="G150" s="3"/>
      <c r="J150" s="11">
        <f>+K125-K132</f>
        <v>2773885235</v>
      </c>
      <c r="M150" s="11">
        <f>+M125-M132</f>
        <v>45272329</v>
      </c>
    </row>
    <row r="151" spans="2:13" x14ac:dyDescent="0.2">
      <c r="B151" s="2" t="s">
        <v>236</v>
      </c>
      <c r="C151" s="123">
        <f>+J141</f>
        <v>0</v>
      </c>
      <c r="G151" s="3"/>
      <c r="I151" s="3"/>
      <c r="J151" s="10">
        <f>+K133-K137-K141</f>
        <v>1665233536</v>
      </c>
      <c r="M151" s="10">
        <f>+M133-M137-M141</f>
        <v>60236287</v>
      </c>
    </row>
    <row r="152" spans="2:13" x14ac:dyDescent="0.2">
      <c r="B152" s="2" t="s">
        <v>263</v>
      </c>
      <c r="C152" s="123"/>
      <c r="G152" s="3"/>
      <c r="I152" s="3"/>
      <c r="J152" s="10">
        <f>+K111+K132+K137+K141</f>
        <v>1067224645</v>
      </c>
      <c r="M152" s="10">
        <f>+M111+M132+M137+M141</f>
        <v>0</v>
      </c>
    </row>
    <row r="153" spans="2:13" x14ac:dyDescent="0.2">
      <c r="B153" s="2" t="s">
        <v>264</v>
      </c>
      <c r="C153" s="124">
        <f>SUM(C146:C151)</f>
        <v>217702454</v>
      </c>
      <c r="J153" s="12">
        <f>SUM(J146:J152)</f>
        <v>16635873833</v>
      </c>
      <c r="M153" s="11">
        <f>SUM(M146:M152)</f>
        <v>224899187</v>
      </c>
    </row>
    <row r="159" spans="2:13" x14ac:dyDescent="0.2">
      <c r="L159" s="2">
        <f>SUM(L156:L158)</f>
        <v>0</v>
      </c>
    </row>
    <row r="163" spans="10:13" x14ac:dyDescent="0.2">
      <c r="J163" s="10">
        <v>8000000</v>
      </c>
      <c r="K163" s="10">
        <v>375450</v>
      </c>
      <c r="L163" s="10">
        <v>300800</v>
      </c>
      <c r="M163" s="10"/>
    </row>
    <row r="164" spans="10:13" x14ac:dyDescent="0.2">
      <c r="J164" s="10">
        <v>6216000</v>
      </c>
      <c r="K164" s="10">
        <v>1961000</v>
      </c>
      <c r="L164" s="10">
        <v>1464000</v>
      </c>
      <c r="M164" s="10"/>
    </row>
    <row r="165" spans="10:13" x14ac:dyDescent="0.2">
      <c r="J165" s="10">
        <v>4506000</v>
      </c>
      <c r="K165" s="10">
        <v>12500000</v>
      </c>
      <c r="L165" s="10">
        <v>7482300</v>
      </c>
      <c r="M165" s="10"/>
    </row>
    <row r="166" spans="10:13" x14ac:dyDescent="0.2">
      <c r="J166" s="10">
        <v>4886000</v>
      </c>
      <c r="K166" s="10">
        <v>12500000</v>
      </c>
      <c r="L166" s="148">
        <f>SUM(L163:L165)</f>
        <v>9247100</v>
      </c>
      <c r="M166" s="10"/>
    </row>
    <row r="167" spans="10:13" x14ac:dyDescent="0.2">
      <c r="J167" s="148">
        <f>SUM(J163:J166)</f>
        <v>23608000</v>
      </c>
      <c r="K167" s="10">
        <v>518440</v>
      </c>
      <c r="L167" s="10"/>
      <c r="M167" s="10"/>
    </row>
    <row r="168" spans="10:13" x14ac:dyDescent="0.2">
      <c r="J168" s="10"/>
      <c r="K168" s="10">
        <v>3951000</v>
      </c>
      <c r="L168" s="10"/>
      <c r="M168" s="10"/>
    </row>
    <row r="169" spans="10:13" x14ac:dyDescent="0.2">
      <c r="J169" s="10"/>
      <c r="K169" s="10">
        <v>815000</v>
      </c>
      <c r="L169" s="10"/>
      <c r="M169" s="10"/>
    </row>
    <row r="170" spans="10:13" x14ac:dyDescent="0.2">
      <c r="J170" s="10"/>
      <c r="K170" s="148">
        <f>SUM(K163:K169)</f>
        <v>32620890</v>
      </c>
      <c r="L170" s="10"/>
      <c r="M170" s="10"/>
    </row>
    <row r="171" spans="10:13" x14ac:dyDescent="0.2">
      <c r="J171" s="10"/>
      <c r="K171" s="10"/>
      <c r="L171" s="10"/>
      <c r="M171" s="10"/>
    </row>
    <row r="172" spans="10:13" x14ac:dyDescent="0.2">
      <c r="J172" s="10"/>
      <c r="K172" s="10"/>
      <c r="L172" s="10"/>
      <c r="M172" s="10"/>
    </row>
    <row r="173" spans="10:13" x14ac:dyDescent="0.2">
      <c r="J173" s="10"/>
      <c r="K173" s="10">
        <v>19550000</v>
      </c>
      <c r="L173" s="10">
        <v>2877453</v>
      </c>
      <c r="M173" s="10"/>
    </row>
    <row r="174" spans="10:13" x14ac:dyDescent="0.2">
      <c r="J174" s="10"/>
      <c r="K174" s="10">
        <v>18850000</v>
      </c>
      <c r="L174" s="10">
        <v>8589324</v>
      </c>
      <c r="M174" s="10"/>
    </row>
    <row r="175" spans="10:13" x14ac:dyDescent="0.2">
      <c r="K175" s="12">
        <f>SUM(K173:K174)</f>
        <v>38400000</v>
      </c>
      <c r="L175" s="2">
        <v>8174717</v>
      </c>
    </row>
    <row r="176" spans="10:13" x14ac:dyDescent="0.2">
      <c r="L176" s="12">
        <f>SUM(L173:L175)</f>
        <v>19641494</v>
      </c>
    </row>
    <row r="178" spans="11:11" x14ac:dyDescent="0.2">
      <c r="K178" s="10">
        <v>7773900</v>
      </c>
    </row>
    <row r="179" spans="11:11" x14ac:dyDescent="0.2">
      <c r="K179" s="10">
        <v>9858500</v>
      </c>
    </row>
    <row r="180" spans="11:11" x14ac:dyDescent="0.2">
      <c r="K180" s="10">
        <v>8307500</v>
      </c>
    </row>
    <row r="181" spans="11:11" x14ac:dyDescent="0.2">
      <c r="K181" s="148">
        <f>SUM(K178:K180)</f>
        <v>25939900</v>
      </c>
    </row>
    <row r="183" spans="11:11" x14ac:dyDescent="0.2">
      <c r="K183" s="10">
        <v>3368400</v>
      </c>
    </row>
    <row r="184" spans="11:11" x14ac:dyDescent="0.2">
      <c r="K184" s="10">
        <v>3007200</v>
      </c>
    </row>
    <row r="185" spans="11:11" x14ac:dyDescent="0.2">
      <c r="K185" s="10">
        <v>3532200</v>
      </c>
    </row>
    <row r="186" spans="11:11" x14ac:dyDescent="0.2">
      <c r="K186" s="10">
        <v>1860000</v>
      </c>
    </row>
    <row r="187" spans="11:11" x14ac:dyDescent="0.2">
      <c r="K187" s="10">
        <v>2500000</v>
      </c>
    </row>
    <row r="188" spans="11:11" x14ac:dyDescent="0.2">
      <c r="K188" s="10">
        <v>3037500</v>
      </c>
    </row>
    <row r="189" spans="11:11" x14ac:dyDescent="0.2">
      <c r="K189" s="10">
        <v>1890000</v>
      </c>
    </row>
    <row r="190" spans="11:11" x14ac:dyDescent="0.2">
      <c r="K190" s="10">
        <v>1500000</v>
      </c>
    </row>
    <row r="191" spans="11:11" x14ac:dyDescent="0.2">
      <c r="K191" s="148">
        <f>SUM(K183:K190)</f>
        <v>20695300</v>
      </c>
    </row>
    <row r="193" spans="11:11" x14ac:dyDescent="0.2">
      <c r="K193" s="10">
        <v>874214</v>
      </c>
    </row>
    <row r="194" spans="11:11" x14ac:dyDescent="0.2">
      <c r="K194" s="10">
        <v>44000</v>
      </c>
    </row>
    <row r="195" spans="11:11" x14ac:dyDescent="0.2">
      <c r="K195" s="10">
        <v>36000</v>
      </c>
    </row>
    <row r="196" spans="11:11" x14ac:dyDescent="0.2">
      <c r="K196" s="10">
        <v>160000</v>
      </c>
    </row>
    <row r="197" spans="11:11" x14ac:dyDescent="0.2">
      <c r="K197" s="10">
        <v>2099607</v>
      </c>
    </row>
    <row r="198" spans="11:11" x14ac:dyDescent="0.2">
      <c r="K198" s="148">
        <f>SUM(K193:K197)</f>
        <v>3213821</v>
      </c>
    </row>
  </sheetData>
  <printOptions horizontalCentered="1"/>
  <pageMargins left="0.19685039370078741" right="0" top="0.35433070866141736" bottom="0.6692913385826772" header="0.31496062992125984" footer="0.31496062992125984"/>
  <pageSetup paperSize="25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4"/>
  <sheetViews>
    <sheetView tabSelected="1" topLeftCell="A46" zoomScale="148" zoomScaleNormal="148" workbookViewId="0">
      <selection activeCell="C95" sqref="C95:D100"/>
    </sheetView>
  </sheetViews>
  <sheetFormatPr baseColWidth="10" defaultRowHeight="11.25" x14ac:dyDescent="0.2"/>
  <cols>
    <col min="1" max="1" width="10.42578125" style="2" customWidth="1"/>
    <col min="2" max="2" width="24.5703125" style="2" customWidth="1"/>
    <col min="3" max="3" width="10.42578125" style="120" customWidth="1"/>
    <col min="4" max="4" width="8.85546875" style="2" customWidth="1"/>
    <col min="5" max="6" width="8.28515625" style="2" customWidth="1"/>
    <col min="7" max="7" width="8.7109375" style="2" customWidth="1"/>
    <col min="8" max="8" width="10.85546875" style="2" customWidth="1"/>
    <col min="9" max="9" width="7.140625" style="2" customWidth="1"/>
    <col min="10" max="10" width="10.42578125" style="2" customWidth="1"/>
    <col min="11" max="11" width="11.5703125" style="2" customWidth="1"/>
    <col min="12" max="13" width="10.5703125" style="2" customWidth="1"/>
    <col min="14" max="14" width="11.42578125" style="2" customWidth="1"/>
    <col min="15" max="15" width="11.28515625" style="2" customWidth="1"/>
    <col min="16" max="16" width="11" style="2" customWidth="1"/>
    <col min="17" max="17" width="9.85546875" style="2" customWidth="1"/>
    <col min="18" max="18" width="15.42578125" style="2" customWidth="1"/>
    <col min="19" max="19" width="12.85546875" style="2" customWidth="1"/>
    <col min="20" max="20" width="14.85546875" style="2" customWidth="1"/>
    <col min="21" max="21" width="19.85546875" style="2" customWidth="1"/>
    <col min="22" max="22" width="12.85546875" style="2" customWidth="1"/>
    <col min="23" max="23" width="12.5703125" style="2" customWidth="1"/>
    <col min="24" max="24" width="12.28515625" style="2" customWidth="1"/>
    <col min="25" max="25" width="14.5703125" style="2" customWidth="1"/>
    <col min="26" max="16384" width="11.42578125" style="2"/>
  </cols>
  <sheetData>
    <row r="1" spans="1:20" s="156" customFormat="1" ht="8.25" x14ac:dyDescent="0.15">
      <c r="A1" s="160"/>
      <c r="B1" s="160"/>
      <c r="C1" s="161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3"/>
      <c r="O1" s="163"/>
      <c r="P1" s="163"/>
      <c r="Q1" s="163"/>
    </row>
    <row r="2" spans="1:20" s="156" customFormat="1" ht="8.25" x14ac:dyDescent="0.15">
      <c r="A2" s="160" t="s">
        <v>331</v>
      </c>
      <c r="B2" s="160"/>
      <c r="C2" s="161"/>
      <c r="D2" s="162"/>
      <c r="E2" s="162"/>
      <c r="F2" s="162"/>
      <c r="G2" s="164"/>
      <c r="H2" s="164"/>
      <c r="I2" s="162"/>
      <c r="J2" s="162"/>
      <c r="K2" s="162"/>
      <c r="L2" s="162"/>
      <c r="M2" s="162"/>
      <c r="N2" s="163"/>
      <c r="O2" s="163"/>
      <c r="P2" s="163"/>
      <c r="Q2" s="163"/>
    </row>
    <row r="3" spans="1:20" s="156" customFormat="1" ht="8.25" x14ac:dyDescent="0.15">
      <c r="A3" s="160" t="s">
        <v>333</v>
      </c>
      <c r="B3" s="160"/>
      <c r="C3" s="161"/>
      <c r="D3" s="162"/>
      <c r="E3" s="162"/>
      <c r="F3" s="162"/>
      <c r="G3" s="162"/>
      <c r="H3" s="162"/>
      <c r="I3" s="162"/>
      <c r="J3" s="162"/>
      <c r="K3" s="162"/>
      <c r="L3" s="162"/>
      <c r="M3" s="164"/>
      <c r="N3" s="163"/>
      <c r="O3" s="163"/>
      <c r="P3" s="163"/>
      <c r="Q3" s="163"/>
    </row>
    <row r="4" spans="1:20" s="156" customFormat="1" ht="8.25" x14ac:dyDescent="0.15">
      <c r="A4" s="160" t="s">
        <v>2</v>
      </c>
      <c r="B4" s="160"/>
      <c r="C4" s="161"/>
      <c r="D4" s="162"/>
      <c r="E4" s="162"/>
      <c r="F4" s="162"/>
      <c r="G4" s="162"/>
      <c r="H4" s="162"/>
      <c r="I4" s="162" t="s">
        <v>3</v>
      </c>
      <c r="J4" s="162"/>
      <c r="K4" s="162"/>
      <c r="L4" s="162"/>
      <c r="M4" s="162"/>
      <c r="N4" s="163"/>
      <c r="O4" s="163"/>
      <c r="P4" s="163"/>
      <c r="Q4" s="163"/>
    </row>
    <row r="5" spans="1:20" s="156" customFormat="1" ht="9" thickBot="1" x14ac:dyDescent="0.2">
      <c r="A5" s="160" t="s">
        <v>4</v>
      </c>
      <c r="B5" s="160"/>
      <c r="C5" s="161" t="s">
        <v>3</v>
      </c>
      <c r="D5" s="162"/>
      <c r="E5" s="162"/>
      <c r="F5" s="162"/>
      <c r="G5" s="162"/>
      <c r="I5" s="165"/>
      <c r="J5" s="162"/>
      <c r="K5" s="162"/>
      <c r="L5" s="162"/>
      <c r="M5" s="162"/>
      <c r="N5" s="162"/>
      <c r="O5" s="162"/>
      <c r="P5" s="165" t="s">
        <v>5</v>
      </c>
      <c r="Q5" s="162"/>
    </row>
    <row r="6" spans="1:20" s="174" customFormat="1" ht="9" thickBot="1" x14ac:dyDescent="0.25">
      <c r="A6" s="166"/>
      <c r="B6" s="167" t="s">
        <v>6</v>
      </c>
      <c r="C6" s="168"/>
      <c r="D6" s="167"/>
      <c r="E6" s="166"/>
      <c r="F6" s="167"/>
      <c r="G6" s="169"/>
      <c r="H6" s="166"/>
      <c r="I6" s="167" t="s">
        <v>237</v>
      </c>
      <c r="J6" s="167"/>
      <c r="K6" s="170"/>
      <c r="L6" s="171"/>
      <c r="M6" s="172"/>
      <c r="N6" s="167" t="s">
        <v>7</v>
      </c>
      <c r="O6" s="167"/>
      <c r="P6" s="166" t="s">
        <v>8</v>
      </c>
      <c r="Q6" s="173" t="s">
        <v>206</v>
      </c>
    </row>
    <row r="7" spans="1:20" s="174" customFormat="1" ht="8.25" x14ac:dyDescent="0.2">
      <c r="A7" s="175" t="s">
        <v>9</v>
      </c>
      <c r="B7" s="176" t="s">
        <v>10</v>
      </c>
      <c r="C7" s="177" t="s">
        <v>11</v>
      </c>
      <c r="D7" s="176" t="s">
        <v>217</v>
      </c>
      <c r="E7" s="175" t="s">
        <v>218</v>
      </c>
      <c r="F7" s="176" t="s">
        <v>12</v>
      </c>
      <c r="G7" s="178" t="s">
        <v>216</v>
      </c>
      <c r="H7" s="175" t="s">
        <v>13</v>
      </c>
      <c r="I7" s="173" t="s">
        <v>305</v>
      </c>
      <c r="J7" s="166" t="s">
        <v>15</v>
      </c>
      <c r="K7" s="166" t="s">
        <v>16</v>
      </c>
      <c r="L7" s="175" t="s">
        <v>16</v>
      </c>
      <c r="M7" s="175" t="s">
        <v>305</v>
      </c>
      <c r="N7" s="166" t="s">
        <v>15</v>
      </c>
      <c r="O7" s="166" t="s">
        <v>16</v>
      </c>
      <c r="P7" s="175" t="s">
        <v>17</v>
      </c>
      <c r="Q7" s="179" t="s">
        <v>17</v>
      </c>
    </row>
    <row r="8" spans="1:20" s="174" customFormat="1" ht="8.25" x14ac:dyDescent="0.2">
      <c r="A8" s="175" t="s">
        <v>18</v>
      </c>
      <c r="B8" s="176"/>
      <c r="C8" s="177"/>
      <c r="D8" s="176"/>
      <c r="E8" s="175"/>
      <c r="F8" s="176"/>
      <c r="G8" s="178"/>
      <c r="H8" s="175"/>
      <c r="I8" s="179" t="s">
        <v>19</v>
      </c>
      <c r="J8" s="175" t="s">
        <v>305</v>
      </c>
      <c r="K8" s="175"/>
      <c r="L8" s="175" t="s">
        <v>306</v>
      </c>
      <c r="M8" s="175" t="s">
        <v>19</v>
      </c>
      <c r="N8" s="175" t="s">
        <v>305</v>
      </c>
      <c r="O8" s="175"/>
      <c r="P8" s="175" t="s">
        <v>21</v>
      </c>
      <c r="Q8" s="179" t="s">
        <v>207</v>
      </c>
    </row>
    <row r="9" spans="1:20" s="174" customFormat="1" ht="9" thickBot="1" x14ac:dyDescent="0.25">
      <c r="A9" s="180"/>
      <c r="B9" s="181" t="s">
        <v>22</v>
      </c>
      <c r="C9" s="182" t="s">
        <v>23</v>
      </c>
      <c r="D9" s="181"/>
      <c r="E9" s="180"/>
      <c r="F9" s="181"/>
      <c r="G9" s="178" t="s">
        <v>3</v>
      </c>
      <c r="H9" s="180" t="s">
        <v>24</v>
      </c>
      <c r="I9" s="183" t="s">
        <v>25</v>
      </c>
      <c r="J9" s="180" t="s">
        <v>211</v>
      </c>
      <c r="K9" s="180" t="s">
        <v>26</v>
      </c>
      <c r="L9" s="180" t="s">
        <v>210</v>
      </c>
      <c r="M9" s="180" t="s">
        <v>307</v>
      </c>
      <c r="N9" s="180" t="s">
        <v>209</v>
      </c>
      <c r="O9" s="180" t="s">
        <v>308</v>
      </c>
      <c r="P9" s="180" t="s">
        <v>212</v>
      </c>
      <c r="Q9" s="179" t="s">
        <v>213</v>
      </c>
    </row>
    <row r="10" spans="1:20" s="193" customFormat="1" ht="8.25" x14ac:dyDescent="0.15">
      <c r="A10" s="184">
        <v>2</v>
      </c>
      <c r="B10" s="185" t="s">
        <v>215</v>
      </c>
      <c r="C10" s="186">
        <f>(C11+C140)</f>
        <v>24346000000</v>
      </c>
      <c r="D10" s="187">
        <v>0</v>
      </c>
      <c r="E10" s="187">
        <v>0</v>
      </c>
      <c r="F10" s="188">
        <v>0</v>
      </c>
      <c r="G10" s="189">
        <f>(G11+G140)</f>
        <v>658667200</v>
      </c>
      <c r="H10" s="149">
        <f t="shared" ref="H10:H11" si="0">(C10+G10)+E10-D10</f>
        <v>25004667200</v>
      </c>
      <c r="I10" s="189">
        <f>(I11+I140)</f>
        <v>0</v>
      </c>
      <c r="J10" s="189">
        <f>(J11+J140)</f>
        <v>13662371433</v>
      </c>
      <c r="K10" s="190">
        <f>(I10+J10)</f>
        <v>13662371433</v>
      </c>
      <c r="L10" s="189">
        <f>(L11+L140)</f>
        <v>8209789371</v>
      </c>
      <c r="M10" s="189">
        <f>(M11+M140)</f>
        <v>0</v>
      </c>
      <c r="N10" s="189">
        <f>(N11+N140)</f>
        <v>6113054900</v>
      </c>
      <c r="O10" s="149">
        <f t="shared" ref="O10:O15" si="1">(M10+N10)</f>
        <v>6113054900</v>
      </c>
      <c r="P10" s="191">
        <f t="shared" ref="P10:P87" si="2">(H10-K10)</f>
        <v>11342295767</v>
      </c>
      <c r="Q10" s="192">
        <f>(L10-O10)</f>
        <v>2096734471</v>
      </c>
    </row>
    <row r="11" spans="1:20" s="193" customFormat="1" ht="12" customHeight="1" x14ac:dyDescent="0.15">
      <c r="A11" s="194">
        <v>21</v>
      </c>
      <c r="B11" s="195" t="s">
        <v>28</v>
      </c>
      <c r="C11" s="196">
        <f>(C12+C87+C124)+C131</f>
        <v>23646000000</v>
      </c>
      <c r="D11" s="197">
        <v>0</v>
      </c>
      <c r="E11" s="198">
        <v>0</v>
      </c>
      <c r="F11" s="199">
        <v>0</v>
      </c>
      <c r="G11" s="197">
        <v>0</v>
      </c>
      <c r="H11" s="149">
        <f t="shared" si="0"/>
        <v>23646000000</v>
      </c>
      <c r="I11" s="197">
        <f>(I12+I87+I124)+I131</f>
        <v>0</v>
      </c>
      <c r="J11" s="196">
        <f>(J12+J87+J124)+J131</f>
        <v>12505984023</v>
      </c>
      <c r="K11" s="200">
        <f>SUM(I11+J11)</f>
        <v>12505984023</v>
      </c>
      <c r="L11" s="196">
        <f>(L12+L87+L124)+L131</f>
        <v>7346716544</v>
      </c>
      <c r="M11" s="196">
        <f>(M12+M87+M124)+M131</f>
        <v>0</v>
      </c>
      <c r="N11" s="196">
        <f>(N12+N87+N124)+N131</f>
        <v>5379112579</v>
      </c>
      <c r="O11" s="149">
        <f t="shared" si="1"/>
        <v>5379112579</v>
      </c>
      <c r="P11" s="191">
        <f t="shared" si="2"/>
        <v>11140015977</v>
      </c>
      <c r="Q11" s="201">
        <f t="shared" ref="Q11:Q74" si="3">(L11-O11)</f>
        <v>1967603965</v>
      </c>
    </row>
    <row r="12" spans="1:20" s="193" customFormat="1" ht="8.25" x14ac:dyDescent="0.15">
      <c r="A12" s="194">
        <v>2101</v>
      </c>
      <c r="B12" s="195" t="s">
        <v>30</v>
      </c>
      <c r="C12" s="196">
        <f>(C13+C51)</f>
        <v>14420000000</v>
      </c>
      <c r="D12" s="197">
        <v>0</v>
      </c>
      <c r="E12" s="198">
        <v>0</v>
      </c>
      <c r="F12" s="199">
        <v>0</v>
      </c>
      <c r="G12" s="197">
        <v>0</v>
      </c>
      <c r="H12" s="197">
        <f>(H13+H51)</f>
        <v>14420000000</v>
      </c>
      <c r="I12" s="197">
        <f>(I13+I51)</f>
        <v>0</v>
      </c>
      <c r="J12" s="197">
        <f>(J13+J51)</f>
        <v>7128032159</v>
      </c>
      <c r="K12" s="200">
        <f>SUM(I12+J12)</f>
        <v>7128032159</v>
      </c>
      <c r="L12" s="197">
        <f>(L13+L51)</f>
        <v>3824719964</v>
      </c>
      <c r="M12" s="197">
        <f>(M13+M51)</f>
        <v>0</v>
      </c>
      <c r="N12" s="197">
        <f>(N13+N51)</f>
        <v>2543839030</v>
      </c>
      <c r="O12" s="149">
        <f t="shared" si="1"/>
        <v>2543839030</v>
      </c>
      <c r="P12" s="191">
        <f t="shared" si="2"/>
        <v>7291967841</v>
      </c>
      <c r="Q12" s="201">
        <f t="shared" si="3"/>
        <v>1280880934</v>
      </c>
    </row>
    <row r="13" spans="1:20" s="193" customFormat="1" ht="8.25" x14ac:dyDescent="0.15">
      <c r="A13" s="194">
        <v>21010</v>
      </c>
      <c r="B13" s="195" t="s">
        <v>32</v>
      </c>
      <c r="C13" s="196">
        <f>C14+C27+C33+C42</f>
        <v>5345291480</v>
      </c>
      <c r="D13" s="199">
        <v>0</v>
      </c>
      <c r="E13" s="202">
        <v>0</v>
      </c>
      <c r="F13" s="199">
        <v>0</v>
      </c>
      <c r="G13" s="197">
        <v>0</v>
      </c>
      <c r="H13" s="197">
        <f>H14+H27+H33+H42</f>
        <v>5345291480</v>
      </c>
      <c r="I13" s="197">
        <f>I14+I27+I33+I42</f>
        <v>0</v>
      </c>
      <c r="J13" s="197">
        <f>J14+J27+J33+J42</f>
        <v>2714723404</v>
      </c>
      <c r="K13" s="200">
        <f>SUM(I13+J13)</f>
        <v>2714723404</v>
      </c>
      <c r="L13" s="197">
        <f>L14+L27+L33+L42</f>
        <v>1007866197</v>
      </c>
      <c r="M13" s="197">
        <f>M14+M27+M33+M42</f>
        <v>0</v>
      </c>
      <c r="N13" s="197">
        <f>N14+N27+N33+N42</f>
        <v>959503312</v>
      </c>
      <c r="O13" s="149">
        <f t="shared" si="1"/>
        <v>959503312</v>
      </c>
      <c r="P13" s="191">
        <f t="shared" si="2"/>
        <v>2630568076</v>
      </c>
      <c r="Q13" s="201">
        <f t="shared" si="3"/>
        <v>48362885</v>
      </c>
    </row>
    <row r="14" spans="1:20" s="193" customFormat="1" ht="8.25" x14ac:dyDescent="0.15">
      <c r="A14" s="194">
        <v>210101</v>
      </c>
      <c r="B14" s="195" t="s">
        <v>34</v>
      </c>
      <c r="C14" s="203">
        <f>SUM(C15+C16)</f>
        <v>455492000</v>
      </c>
      <c r="D14" s="199">
        <v>0</v>
      </c>
      <c r="E14" s="202">
        <v>0</v>
      </c>
      <c r="F14" s="199">
        <v>0</v>
      </c>
      <c r="G14" s="200">
        <f>SUM(G15+G16)</f>
        <v>0</v>
      </c>
      <c r="H14" s="200">
        <f>SUM(H15+H16)</f>
        <v>455492000</v>
      </c>
      <c r="I14" s="200">
        <f>SUM(I15+I16)</f>
        <v>0</v>
      </c>
      <c r="J14" s="200">
        <f>SUM(J15+J16)</f>
        <v>98116126</v>
      </c>
      <c r="K14" s="200">
        <f>SUM(I14+J14)</f>
        <v>98116126</v>
      </c>
      <c r="L14" s="200">
        <f>SUM(L15+L16)</f>
        <v>98116126</v>
      </c>
      <c r="M14" s="200">
        <f>SUM(M15+M16)</f>
        <v>0</v>
      </c>
      <c r="N14" s="200">
        <f>SUM(N15+N16)</f>
        <v>98116126</v>
      </c>
      <c r="O14" s="149">
        <f t="shared" si="1"/>
        <v>98116126</v>
      </c>
      <c r="P14" s="191">
        <f t="shared" si="2"/>
        <v>357375874</v>
      </c>
      <c r="Q14" s="201">
        <f t="shared" si="3"/>
        <v>0</v>
      </c>
    </row>
    <row r="15" spans="1:20" s="156" customFormat="1" ht="8.25" x14ac:dyDescent="0.15">
      <c r="A15" s="204">
        <v>211010100101</v>
      </c>
      <c r="B15" s="205" t="s">
        <v>36</v>
      </c>
      <c r="C15" s="206">
        <v>357220000</v>
      </c>
      <c r="D15" s="152">
        <v>0</v>
      </c>
      <c r="E15" s="155">
        <v>0</v>
      </c>
      <c r="F15" s="207">
        <v>0</v>
      </c>
      <c r="G15" s="207">
        <v>0</v>
      </c>
      <c r="H15" s="149">
        <f t="shared" ref="H15:H50" si="4">(C15+G15)+E15-D15</f>
        <v>357220000</v>
      </c>
      <c r="I15" s="149">
        <v>0</v>
      </c>
      <c r="J15" s="155">
        <v>79565748</v>
      </c>
      <c r="K15" s="191">
        <f>(I15+J15)</f>
        <v>79565748</v>
      </c>
      <c r="L15" s="191">
        <v>79565748</v>
      </c>
      <c r="M15" s="149">
        <v>0</v>
      </c>
      <c r="N15" s="149">
        <v>79565748</v>
      </c>
      <c r="O15" s="149">
        <f t="shared" si="1"/>
        <v>79565748</v>
      </c>
      <c r="P15" s="191">
        <f t="shared" si="2"/>
        <v>277654252</v>
      </c>
      <c r="Q15" s="201">
        <f t="shared" si="3"/>
        <v>0</v>
      </c>
      <c r="S15" s="159"/>
    </row>
    <row r="16" spans="1:20" s="193" customFormat="1" ht="8.25" x14ac:dyDescent="0.15">
      <c r="A16" s="204" t="s">
        <v>311</v>
      </c>
      <c r="B16" s="195" t="s">
        <v>38</v>
      </c>
      <c r="C16" s="196">
        <f>(C17+C18+C19+C20+C21+C22+C23+C24+C25)</f>
        <v>98272000</v>
      </c>
      <c r="D16" s="199">
        <v>0</v>
      </c>
      <c r="E16" s="202">
        <v>0</v>
      </c>
      <c r="F16" s="199">
        <v>0</v>
      </c>
      <c r="G16" s="197">
        <f>(G17+G18+G19+G20+G21+G22+G23+G24+G25+G26)</f>
        <v>0</v>
      </c>
      <c r="H16" s="197">
        <f>(H17+H18+H19+H20+H21+H22+H23+H24+H25+H26)</f>
        <v>98272000</v>
      </c>
      <c r="I16" s="197">
        <f>(I17+I18+I19+I20+I21+I22+I23+I24+I25+I26)</f>
        <v>0</v>
      </c>
      <c r="J16" s="198">
        <f>(J17+J18+J19+J20+J21+J22+J23+J24+J25+J26)</f>
        <v>18550378</v>
      </c>
      <c r="K16" s="200">
        <f>(I16+J16)</f>
        <v>18550378</v>
      </c>
      <c r="L16" s="200">
        <f>(L17+L18+L19+L20+L21+L22+L23+L24+L25+L26)</f>
        <v>18550378</v>
      </c>
      <c r="M16" s="197">
        <f>(M17+M18+M19+M20+M21+M22+M23+M24+M25+M26)</f>
        <v>0</v>
      </c>
      <c r="N16" s="197">
        <f>(N17+N18+N19+N20+N21+N22+N23+N24+N25+N26)</f>
        <v>18550378</v>
      </c>
      <c r="O16" s="197">
        <f>(O17+O18+O19+O20+O21+O22+O23+O24+O25)</f>
        <v>18550378</v>
      </c>
      <c r="P16" s="200">
        <f t="shared" si="2"/>
        <v>79721622</v>
      </c>
      <c r="Q16" s="201">
        <f t="shared" si="3"/>
        <v>0</v>
      </c>
      <c r="T16" s="208"/>
    </row>
    <row r="17" spans="1:19" s="156" customFormat="1" ht="8.25" x14ac:dyDescent="0.15">
      <c r="A17" s="204">
        <v>21101010010801</v>
      </c>
      <c r="B17" s="205" t="s">
        <v>40</v>
      </c>
      <c r="C17" s="206">
        <v>34113000</v>
      </c>
      <c r="D17" s="149">
        <v>0</v>
      </c>
      <c r="E17" s="155">
        <v>0</v>
      </c>
      <c r="F17" s="207">
        <v>0</v>
      </c>
      <c r="G17" s="207">
        <v>0</v>
      </c>
      <c r="H17" s="149">
        <f t="shared" si="4"/>
        <v>34113000</v>
      </c>
      <c r="I17" s="149">
        <v>0</v>
      </c>
      <c r="J17" s="155">
        <v>0</v>
      </c>
      <c r="K17" s="200">
        <f>(I17+J17)</f>
        <v>0</v>
      </c>
      <c r="L17" s="191">
        <v>0</v>
      </c>
      <c r="M17" s="149">
        <v>0</v>
      </c>
      <c r="N17" s="149">
        <v>0</v>
      </c>
      <c r="O17" s="209">
        <f t="shared" ref="O17:O23" si="5">+M17+N17</f>
        <v>0</v>
      </c>
      <c r="P17" s="191">
        <f t="shared" si="2"/>
        <v>34113000</v>
      </c>
      <c r="Q17" s="201">
        <f t="shared" si="3"/>
        <v>0</v>
      </c>
    </row>
    <row r="18" spans="1:19" s="156" customFormat="1" ht="8.25" x14ac:dyDescent="0.15">
      <c r="A18" s="204">
        <v>211010100111</v>
      </c>
      <c r="B18" s="205" t="s">
        <v>42</v>
      </c>
      <c r="C18" s="206">
        <v>4798000</v>
      </c>
      <c r="D18" s="207">
        <v>0</v>
      </c>
      <c r="E18" s="210">
        <v>0</v>
      </c>
      <c r="F18" s="207">
        <v>0</v>
      </c>
      <c r="G18" s="207">
        <v>0</v>
      </c>
      <c r="H18" s="149">
        <f t="shared" si="4"/>
        <v>4798000</v>
      </c>
      <c r="I18" s="149">
        <v>0</v>
      </c>
      <c r="J18" s="155">
        <v>1131095</v>
      </c>
      <c r="K18" s="200">
        <f t="shared" ref="K18:K26" si="6">(I18+J18)</f>
        <v>1131095</v>
      </c>
      <c r="L18" s="191">
        <v>1131095</v>
      </c>
      <c r="M18" s="149">
        <v>0</v>
      </c>
      <c r="N18" s="149">
        <v>1131095</v>
      </c>
      <c r="O18" s="149">
        <f t="shared" si="5"/>
        <v>1131095</v>
      </c>
      <c r="P18" s="191">
        <f t="shared" si="2"/>
        <v>3666905</v>
      </c>
      <c r="Q18" s="201">
        <f t="shared" si="3"/>
        <v>0</v>
      </c>
      <c r="S18" s="211"/>
    </row>
    <row r="19" spans="1:19" s="156" customFormat="1" ht="8.25" x14ac:dyDescent="0.15">
      <c r="A19" s="204">
        <v>21101010010802</v>
      </c>
      <c r="B19" s="205" t="s">
        <v>44</v>
      </c>
      <c r="C19" s="206">
        <v>16000000</v>
      </c>
      <c r="D19" s="149">
        <v>0</v>
      </c>
      <c r="E19" s="210">
        <v>0</v>
      </c>
      <c r="F19" s="207">
        <v>0</v>
      </c>
      <c r="G19" s="207">
        <v>0</v>
      </c>
      <c r="H19" s="149">
        <f t="shared" si="4"/>
        <v>16000000</v>
      </c>
      <c r="I19" s="149">
        <v>0</v>
      </c>
      <c r="J19" s="155">
        <v>8071818</v>
      </c>
      <c r="K19" s="200">
        <f t="shared" si="6"/>
        <v>8071818</v>
      </c>
      <c r="L19" s="191">
        <v>8071818</v>
      </c>
      <c r="M19" s="149">
        <v>0</v>
      </c>
      <c r="N19" s="149">
        <v>8071818</v>
      </c>
      <c r="O19" s="149">
        <f t="shared" si="5"/>
        <v>8071818</v>
      </c>
      <c r="P19" s="191">
        <f t="shared" si="2"/>
        <v>7928182</v>
      </c>
      <c r="Q19" s="201">
        <f t="shared" si="3"/>
        <v>0</v>
      </c>
    </row>
    <row r="20" spans="1:19" s="156" customFormat="1" ht="8.25" x14ac:dyDescent="0.15">
      <c r="A20" s="204">
        <v>211010300103</v>
      </c>
      <c r="B20" s="205" t="s">
        <v>46</v>
      </c>
      <c r="C20" s="206">
        <v>1985000</v>
      </c>
      <c r="D20" s="207"/>
      <c r="E20" s="210">
        <v>0</v>
      </c>
      <c r="F20" s="207">
        <v>0</v>
      </c>
      <c r="G20" s="207">
        <v>0</v>
      </c>
      <c r="H20" s="149">
        <f t="shared" si="4"/>
        <v>1985000</v>
      </c>
      <c r="I20" s="149">
        <v>0</v>
      </c>
      <c r="J20" s="155">
        <v>992738</v>
      </c>
      <c r="K20" s="200">
        <f t="shared" si="6"/>
        <v>992738</v>
      </c>
      <c r="L20" s="191">
        <v>992738</v>
      </c>
      <c r="M20" s="149">
        <v>0</v>
      </c>
      <c r="N20" s="149">
        <v>992738</v>
      </c>
      <c r="O20" s="149">
        <f t="shared" si="5"/>
        <v>992738</v>
      </c>
      <c r="P20" s="191">
        <f t="shared" si="2"/>
        <v>992262</v>
      </c>
      <c r="Q20" s="201">
        <f t="shared" si="3"/>
        <v>0</v>
      </c>
      <c r="S20" s="211"/>
    </row>
    <row r="21" spans="1:19" s="156" customFormat="1" ht="8.25" x14ac:dyDescent="0.15">
      <c r="A21" s="204">
        <v>211010100106</v>
      </c>
      <c r="B21" s="205" t="s">
        <v>48</v>
      </c>
      <c r="C21" s="206">
        <v>15450000</v>
      </c>
      <c r="D21" s="149">
        <v>0</v>
      </c>
      <c r="E21" s="210">
        <v>0</v>
      </c>
      <c r="F21" s="207">
        <v>0</v>
      </c>
      <c r="G21" s="207">
        <v>0</v>
      </c>
      <c r="H21" s="149">
        <f t="shared" si="4"/>
        <v>15450000</v>
      </c>
      <c r="I21" s="149">
        <v>0</v>
      </c>
      <c r="J21" s="155">
        <v>0</v>
      </c>
      <c r="K21" s="212">
        <f t="shared" si="6"/>
        <v>0</v>
      </c>
      <c r="L21" s="191">
        <v>0</v>
      </c>
      <c r="M21" s="149">
        <v>0</v>
      </c>
      <c r="N21" s="149">
        <v>0</v>
      </c>
      <c r="O21" s="149">
        <f t="shared" si="5"/>
        <v>0</v>
      </c>
      <c r="P21" s="191">
        <f t="shared" si="2"/>
        <v>15450000</v>
      </c>
      <c r="Q21" s="201">
        <f t="shared" si="3"/>
        <v>0</v>
      </c>
    </row>
    <row r="22" spans="1:19" s="156" customFormat="1" ht="8.25" x14ac:dyDescent="0.15">
      <c r="A22" s="204">
        <v>211010100107</v>
      </c>
      <c r="B22" s="205" t="s">
        <v>50</v>
      </c>
      <c r="C22" s="206">
        <v>11330000</v>
      </c>
      <c r="D22" s="149">
        <v>0</v>
      </c>
      <c r="E22" s="210">
        <v>0</v>
      </c>
      <c r="F22" s="207">
        <v>0</v>
      </c>
      <c r="G22" s="207">
        <v>0</v>
      </c>
      <c r="H22" s="149">
        <f t="shared" si="4"/>
        <v>11330000</v>
      </c>
      <c r="I22" s="149">
        <v>0</v>
      </c>
      <c r="J22" s="155">
        <v>0</v>
      </c>
      <c r="K22" s="200">
        <f t="shared" si="6"/>
        <v>0</v>
      </c>
      <c r="L22" s="191">
        <v>0</v>
      </c>
      <c r="M22" s="149">
        <v>0</v>
      </c>
      <c r="N22" s="149">
        <v>0</v>
      </c>
      <c r="O22" s="149">
        <f t="shared" si="5"/>
        <v>0</v>
      </c>
      <c r="P22" s="191">
        <f t="shared" si="2"/>
        <v>11330000</v>
      </c>
      <c r="Q22" s="201">
        <f t="shared" si="3"/>
        <v>0</v>
      </c>
    </row>
    <row r="23" spans="1:19" s="156" customFormat="1" ht="8.25" x14ac:dyDescent="0.15">
      <c r="A23" s="204">
        <v>211010100105</v>
      </c>
      <c r="B23" s="205" t="s">
        <v>52</v>
      </c>
      <c r="C23" s="206">
        <v>2709000</v>
      </c>
      <c r="D23" s="207">
        <v>0</v>
      </c>
      <c r="E23" s="154">
        <v>0</v>
      </c>
      <c r="F23" s="207">
        <v>0</v>
      </c>
      <c r="G23" s="149">
        <v>0</v>
      </c>
      <c r="H23" s="149">
        <f t="shared" si="4"/>
        <v>2709000</v>
      </c>
      <c r="I23" s="149">
        <v>0</v>
      </c>
      <c r="J23" s="155">
        <v>0</v>
      </c>
      <c r="K23" s="200">
        <f t="shared" si="6"/>
        <v>0</v>
      </c>
      <c r="L23" s="191">
        <v>0</v>
      </c>
      <c r="M23" s="149">
        <v>0</v>
      </c>
      <c r="N23" s="149">
        <v>0</v>
      </c>
      <c r="O23" s="149">
        <f t="shared" si="5"/>
        <v>0</v>
      </c>
      <c r="P23" s="191">
        <f t="shared" si="2"/>
        <v>2709000</v>
      </c>
      <c r="Q23" s="201">
        <f t="shared" si="3"/>
        <v>0</v>
      </c>
    </row>
    <row r="24" spans="1:19" s="156" customFormat="1" ht="8.25" x14ac:dyDescent="0.15">
      <c r="A24" s="204">
        <v>211010100104</v>
      </c>
      <c r="B24" s="205" t="s">
        <v>54</v>
      </c>
      <c r="C24" s="206">
        <v>1887000</v>
      </c>
      <c r="D24" s="207">
        <v>0</v>
      </c>
      <c r="E24" s="210">
        <v>0</v>
      </c>
      <c r="F24" s="207">
        <v>0</v>
      </c>
      <c r="G24" s="207">
        <v>0</v>
      </c>
      <c r="H24" s="149">
        <f t="shared" si="4"/>
        <v>1887000</v>
      </c>
      <c r="I24" s="149">
        <v>0</v>
      </c>
      <c r="J24" s="155">
        <v>406944</v>
      </c>
      <c r="K24" s="200">
        <f t="shared" si="6"/>
        <v>406944</v>
      </c>
      <c r="L24" s="191">
        <v>406944</v>
      </c>
      <c r="M24" s="149">
        <v>0</v>
      </c>
      <c r="N24" s="149">
        <v>406944</v>
      </c>
      <c r="O24" s="149">
        <f>+M24+N24</f>
        <v>406944</v>
      </c>
      <c r="P24" s="191">
        <f t="shared" si="2"/>
        <v>1480056</v>
      </c>
      <c r="Q24" s="201">
        <f t="shared" si="3"/>
        <v>0</v>
      </c>
    </row>
    <row r="25" spans="1:19" s="156" customFormat="1" ht="8.25" x14ac:dyDescent="0.15">
      <c r="A25" s="204">
        <v>211010300102</v>
      </c>
      <c r="B25" s="205" t="s">
        <v>56</v>
      </c>
      <c r="C25" s="206">
        <v>10000000</v>
      </c>
      <c r="D25" s="152">
        <v>0</v>
      </c>
      <c r="E25" s="155">
        <v>0</v>
      </c>
      <c r="F25" s="207">
        <v>0</v>
      </c>
      <c r="G25" s="207">
        <v>0</v>
      </c>
      <c r="H25" s="149">
        <f t="shared" si="4"/>
        <v>10000000</v>
      </c>
      <c r="I25" s="149">
        <v>0</v>
      </c>
      <c r="J25" s="155">
        <v>7947783</v>
      </c>
      <c r="K25" s="200">
        <f t="shared" si="6"/>
        <v>7947783</v>
      </c>
      <c r="L25" s="191">
        <v>7947783</v>
      </c>
      <c r="M25" s="149">
        <v>0</v>
      </c>
      <c r="N25" s="149">
        <v>7947783</v>
      </c>
      <c r="O25" s="149">
        <f>+M25+N25</f>
        <v>7947783</v>
      </c>
      <c r="P25" s="191">
        <f t="shared" si="2"/>
        <v>2052217</v>
      </c>
      <c r="Q25" s="201">
        <f t="shared" si="3"/>
        <v>0</v>
      </c>
    </row>
    <row r="26" spans="1:19" s="156" customFormat="1" ht="8.25" x14ac:dyDescent="0.15">
      <c r="A26" s="213"/>
      <c r="B26" s="205" t="s">
        <v>220</v>
      </c>
      <c r="C26" s="206">
        <v>0</v>
      </c>
      <c r="D26" s="149"/>
      <c r="E26" s="210"/>
      <c r="F26" s="207"/>
      <c r="G26" s="149">
        <v>0</v>
      </c>
      <c r="H26" s="149">
        <f t="shared" si="4"/>
        <v>0</v>
      </c>
      <c r="I26" s="149">
        <v>0</v>
      </c>
      <c r="J26" s="155">
        <v>0</v>
      </c>
      <c r="K26" s="200">
        <f t="shared" si="6"/>
        <v>0</v>
      </c>
      <c r="L26" s="191">
        <v>0</v>
      </c>
      <c r="M26" s="214">
        <v>0</v>
      </c>
      <c r="N26" s="214">
        <v>0</v>
      </c>
      <c r="O26" s="209">
        <f>+M26+N26</f>
        <v>0</v>
      </c>
      <c r="P26" s="191">
        <f t="shared" si="2"/>
        <v>0</v>
      </c>
      <c r="Q26" s="201">
        <f t="shared" si="3"/>
        <v>0</v>
      </c>
    </row>
    <row r="27" spans="1:19" s="193" customFormat="1" ht="8.25" x14ac:dyDescent="0.15">
      <c r="A27" s="194">
        <v>2120</v>
      </c>
      <c r="B27" s="195" t="s">
        <v>58</v>
      </c>
      <c r="C27" s="196">
        <f>(C28+C29+C30+C32+C31)</f>
        <v>4720550000</v>
      </c>
      <c r="D27" s="199">
        <v>0</v>
      </c>
      <c r="E27" s="202">
        <v>0</v>
      </c>
      <c r="F27" s="199">
        <v>0</v>
      </c>
      <c r="G27" s="197">
        <f t="shared" ref="G27:O27" si="7">(G28+G29+G30+G32+G31)</f>
        <v>0</v>
      </c>
      <c r="H27" s="197">
        <f t="shared" si="7"/>
        <v>4720550000</v>
      </c>
      <c r="I27" s="197">
        <f t="shared" si="7"/>
        <v>0</v>
      </c>
      <c r="J27" s="198">
        <f t="shared" si="7"/>
        <v>2566956186</v>
      </c>
      <c r="K27" s="200">
        <f t="shared" si="7"/>
        <v>2566956186</v>
      </c>
      <c r="L27" s="200">
        <f t="shared" si="7"/>
        <v>860098979</v>
      </c>
      <c r="M27" s="215">
        <f t="shared" si="7"/>
        <v>0</v>
      </c>
      <c r="N27" s="197">
        <f t="shared" si="7"/>
        <v>811736094</v>
      </c>
      <c r="O27" s="197">
        <f t="shared" si="7"/>
        <v>811736094</v>
      </c>
      <c r="P27" s="200">
        <f t="shared" si="2"/>
        <v>2153593814</v>
      </c>
      <c r="Q27" s="201">
        <f t="shared" si="3"/>
        <v>48362885</v>
      </c>
    </row>
    <row r="28" spans="1:19" s="156" customFormat="1" ht="8.25" x14ac:dyDescent="0.15">
      <c r="A28" s="204">
        <v>212020200812</v>
      </c>
      <c r="B28" s="205" t="s">
        <v>60</v>
      </c>
      <c r="C28" s="206">
        <v>3714000000</v>
      </c>
      <c r="D28" s="152">
        <v>0</v>
      </c>
      <c r="E28" s="154">
        <v>0</v>
      </c>
      <c r="F28" s="207">
        <v>0</v>
      </c>
      <c r="G28" s="149">
        <v>0</v>
      </c>
      <c r="H28" s="149">
        <f t="shared" si="4"/>
        <v>3714000000</v>
      </c>
      <c r="I28" s="149">
        <v>0</v>
      </c>
      <c r="J28" s="216">
        <v>2196648546</v>
      </c>
      <c r="K28" s="191">
        <f>(I28+J28)</f>
        <v>2196648546</v>
      </c>
      <c r="L28" s="217">
        <v>691777827</v>
      </c>
      <c r="M28" s="149">
        <v>0</v>
      </c>
      <c r="N28" s="149">
        <v>655408348</v>
      </c>
      <c r="O28" s="149">
        <f t="shared" ref="O28:O33" si="8">(M28+N28)</f>
        <v>655408348</v>
      </c>
      <c r="P28" s="191">
        <f t="shared" si="2"/>
        <v>1517351454</v>
      </c>
      <c r="Q28" s="201">
        <f t="shared" si="3"/>
        <v>36369479</v>
      </c>
    </row>
    <row r="29" spans="1:19" s="156" customFormat="1" ht="8.25" x14ac:dyDescent="0.15">
      <c r="A29" s="204">
        <v>212020200813</v>
      </c>
      <c r="B29" s="205" t="s">
        <v>62</v>
      </c>
      <c r="C29" s="206">
        <v>30000000</v>
      </c>
      <c r="D29" s="152">
        <v>0</v>
      </c>
      <c r="E29" s="218">
        <v>0</v>
      </c>
      <c r="F29" s="207">
        <v>0</v>
      </c>
      <c r="G29" s="207">
        <v>0</v>
      </c>
      <c r="H29" s="149">
        <f t="shared" si="4"/>
        <v>30000000</v>
      </c>
      <c r="I29" s="149">
        <v>0</v>
      </c>
      <c r="J29" s="155">
        <v>0</v>
      </c>
      <c r="K29" s="219">
        <f>(I29+J29)</f>
        <v>0</v>
      </c>
      <c r="L29" s="191">
        <v>0</v>
      </c>
      <c r="M29" s="214">
        <v>0</v>
      </c>
      <c r="N29" s="149">
        <v>0</v>
      </c>
      <c r="O29" s="149">
        <f t="shared" si="8"/>
        <v>0</v>
      </c>
      <c r="P29" s="191">
        <f t="shared" si="2"/>
        <v>30000000</v>
      </c>
      <c r="Q29" s="201">
        <f t="shared" si="3"/>
        <v>0</v>
      </c>
    </row>
    <row r="30" spans="1:19" s="156" customFormat="1" ht="8.25" x14ac:dyDescent="0.15">
      <c r="A30" s="204">
        <v>212020200814</v>
      </c>
      <c r="B30" s="205" t="s">
        <v>64</v>
      </c>
      <c r="C30" s="206">
        <v>5550000</v>
      </c>
      <c r="D30" s="207">
        <v>0</v>
      </c>
      <c r="E30" s="210">
        <v>0</v>
      </c>
      <c r="F30" s="207">
        <v>0</v>
      </c>
      <c r="G30" s="207">
        <v>0</v>
      </c>
      <c r="H30" s="149">
        <f t="shared" si="4"/>
        <v>5550000</v>
      </c>
      <c r="I30" s="149">
        <v>0</v>
      </c>
      <c r="J30" s="155">
        <v>0</v>
      </c>
      <c r="K30" s="191">
        <f>(I30+J30)</f>
        <v>0</v>
      </c>
      <c r="L30" s="191">
        <v>0</v>
      </c>
      <c r="M30" s="149">
        <v>0</v>
      </c>
      <c r="N30" s="149">
        <v>0</v>
      </c>
      <c r="O30" s="149">
        <f t="shared" si="8"/>
        <v>0</v>
      </c>
      <c r="P30" s="191">
        <f t="shared" si="2"/>
        <v>5550000</v>
      </c>
      <c r="Q30" s="201">
        <f t="shared" si="3"/>
        <v>0</v>
      </c>
    </row>
    <row r="31" spans="1:19" s="156" customFormat="1" ht="8.25" x14ac:dyDescent="0.15">
      <c r="A31" s="204"/>
      <c r="B31" s="205" t="s">
        <v>220</v>
      </c>
      <c r="C31" s="206">
        <v>0</v>
      </c>
      <c r="D31" s="207">
        <v>0</v>
      </c>
      <c r="E31" s="210">
        <v>0</v>
      </c>
      <c r="F31" s="207">
        <v>0</v>
      </c>
      <c r="G31" s="149">
        <v>0</v>
      </c>
      <c r="H31" s="149">
        <f t="shared" si="4"/>
        <v>0</v>
      </c>
      <c r="I31" s="149">
        <v>0</v>
      </c>
      <c r="J31" s="155">
        <v>0</v>
      </c>
      <c r="K31" s="191">
        <f>(I31+J31)</f>
        <v>0</v>
      </c>
      <c r="L31" s="191">
        <v>0</v>
      </c>
      <c r="M31" s="214">
        <v>0</v>
      </c>
      <c r="N31" s="149">
        <v>0</v>
      </c>
      <c r="O31" s="149">
        <f t="shared" si="8"/>
        <v>0</v>
      </c>
      <c r="P31" s="191">
        <f t="shared" si="2"/>
        <v>0</v>
      </c>
      <c r="Q31" s="201">
        <f t="shared" si="3"/>
        <v>0</v>
      </c>
    </row>
    <row r="32" spans="1:19" s="156" customFormat="1" ht="8.25" x14ac:dyDescent="0.15">
      <c r="A32" s="204">
        <v>212020200815</v>
      </c>
      <c r="B32" s="205" t="s">
        <v>66</v>
      </c>
      <c r="C32" s="206">
        <v>971000000</v>
      </c>
      <c r="D32" s="152">
        <v>0</v>
      </c>
      <c r="E32" s="155">
        <v>0</v>
      </c>
      <c r="F32" s="207">
        <v>0</v>
      </c>
      <c r="G32" s="149">
        <v>0</v>
      </c>
      <c r="H32" s="149">
        <f t="shared" si="4"/>
        <v>971000000</v>
      </c>
      <c r="I32" s="149">
        <v>0</v>
      </c>
      <c r="J32" s="155">
        <v>370307640</v>
      </c>
      <c r="K32" s="191">
        <f>(I32+J32)</f>
        <v>370307640</v>
      </c>
      <c r="L32" s="191">
        <v>168321152</v>
      </c>
      <c r="M32" s="149">
        <v>0</v>
      </c>
      <c r="N32" s="149">
        <v>156327746</v>
      </c>
      <c r="O32" s="149">
        <f t="shared" si="8"/>
        <v>156327746</v>
      </c>
      <c r="P32" s="191">
        <f t="shared" si="2"/>
        <v>600692360</v>
      </c>
      <c r="Q32" s="201">
        <f t="shared" si="3"/>
        <v>11993406</v>
      </c>
    </row>
    <row r="33" spans="1:17" s="193" customFormat="1" ht="8.25" x14ac:dyDescent="0.15">
      <c r="A33" s="194">
        <v>21101</v>
      </c>
      <c r="B33" s="195" t="s">
        <v>68</v>
      </c>
      <c r="C33" s="203">
        <f>SUM(C34+C39)</f>
        <v>147508000</v>
      </c>
      <c r="D33" s="199">
        <v>0</v>
      </c>
      <c r="E33" s="202">
        <v>0</v>
      </c>
      <c r="F33" s="199">
        <v>0</v>
      </c>
      <c r="G33" s="197">
        <f t="shared" ref="G33:J33" si="9">(G34+G39)</f>
        <v>0</v>
      </c>
      <c r="H33" s="220">
        <f t="shared" si="9"/>
        <v>147508000</v>
      </c>
      <c r="I33" s="197">
        <f t="shared" si="9"/>
        <v>0</v>
      </c>
      <c r="J33" s="198">
        <f t="shared" si="9"/>
        <v>45672807</v>
      </c>
      <c r="K33" s="200">
        <f>(K34+K39)</f>
        <v>45672807</v>
      </c>
      <c r="L33" s="200">
        <f>(L34+L39)</f>
        <v>45672807</v>
      </c>
      <c r="M33" s="197">
        <f>(M34+M39)</f>
        <v>0</v>
      </c>
      <c r="N33" s="221">
        <f>(N34+N39)</f>
        <v>45672807</v>
      </c>
      <c r="O33" s="149">
        <f t="shared" si="8"/>
        <v>45672807</v>
      </c>
      <c r="P33" s="200">
        <f>(H33-K33)</f>
        <v>101835193</v>
      </c>
      <c r="Q33" s="201">
        <f t="shared" si="3"/>
        <v>0</v>
      </c>
    </row>
    <row r="34" spans="1:17" s="193" customFormat="1" ht="8.25" x14ac:dyDescent="0.15">
      <c r="A34" s="194">
        <v>211010</v>
      </c>
      <c r="B34" s="195" t="s">
        <v>70</v>
      </c>
      <c r="C34" s="203">
        <f>SUM(C35:C38)</f>
        <v>130115000</v>
      </c>
      <c r="D34" s="199">
        <v>0</v>
      </c>
      <c r="E34" s="202">
        <v>0</v>
      </c>
      <c r="F34" s="199">
        <v>0</v>
      </c>
      <c r="G34" s="197">
        <f t="shared" ref="G34:O34" si="10">(G35+G36+G37+G38)</f>
        <v>0</v>
      </c>
      <c r="H34" s="220">
        <f t="shared" si="10"/>
        <v>130115000</v>
      </c>
      <c r="I34" s="197">
        <f t="shared" si="10"/>
        <v>0</v>
      </c>
      <c r="J34" s="198">
        <f t="shared" si="10"/>
        <v>41429299</v>
      </c>
      <c r="K34" s="200">
        <f t="shared" si="10"/>
        <v>41429299</v>
      </c>
      <c r="L34" s="200">
        <f t="shared" si="10"/>
        <v>41429299</v>
      </c>
      <c r="M34" s="197">
        <f>(M35+M36+M37+M38)</f>
        <v>0</v>
      </c>
      <c r="N34" s="197">
        <f t="shared" si="10"/>
        <v>41429299</v>
      </c>
      <c r="O34" s="197">
        <f t="shared" si="10"/>
        <v>41429299</v>
      </c>
      <c r="P34" s="200">
        <f t="shared" si="2"/>
        <v>88685701</v>
      </c>
      <c r="Q34" s="201">
        <f t="shared" si="3"/>
        <v>0</v>
      </c>
    </row>
    <row r="35" spans="1:17" s="156" customFormat="1" ht="8.25" x14ac:dyDescent="0.15">
      <c r="A35" s="213">
        <v>2110102002</v>
      </c>
      <c r="B35" s="205" t="s">
        <v>72</v>
      </c>
      <c r="C35" s="206">
        <v>29505000</v>
      </c>
      <c r="D35" s="207">
        <v>0</v>
      </c>
      <c r="E35" s="210">
        <v>0</v>
      </c>
      <c r="F35" s="207">
        <v>0</v>
      </c>
      <c r="G35" s="207">
        <v>0</v>
      </c>
      <c r="H35" s="222">
        <f t="shared" si="4"/>
        <v>29505000</v>
      </c>
      <c r="I35" s="149">
        <v>0</v>
      </c>
      <c r="J35" s="155">
        <v>2254363</v>
      </c>
      <c r="K35" s="223">
        <f t="shared" ref="K35:K49" si="11">(I35+J35)</f>
        <v>2254363</v>
      </c>
      <c r="L35" s="191">
        <v>2254363</v>
      </c>
      <c r="M35" s="149">
        <v>0</v>
      </c>
      <c r="N35" s="149">
        <v>2254363</v>
      </c>
      <c r="O35" s="222">
        <f t="shared" ref="O35:O49" si="12">(M35+N35)</f>
        <v>2254363</v>
      </c>
      <c r="P35" s="191">
        <f t="shared" si="2"/>
        <v>27250637</v>
      </c>
      <c r="Q35" s="201">
        <f t="shared" si="3"/>
        <v>0</v>
      </c>
    </row>
    <row r="36" spans="1:17" s="156" customFormat="1" ht="8.25" x14ac:dyDescent="0.15">
      <c r="A36" s="213">
        <v>2110102001</v>
      </c>
      <c r="B36" s="205" t="s">
        <v>74</v>
      </c>
      <c r="C36" s="206">
        <v>54395000</v>
      </c>
      <c r="D36" s="207">
        <v>0</v>
      </c>
      <c r="E36" s="210">
        <v>0</v>
      </c>
      <c r="F36" s="207">
        <v>0</v>
      </c>
      <c r="G36" s="207">
        <v>0</v>
      </c>
      <c r="H36" s="222">
        <f t="shared" si="4"/>
        <v>54395000</v>
      </c>
      <c r="I36" s="149">
        <v>0</v>
      </c>
      <c r="J36" s="155">
        <v>3182630</v>
      </c>
      <c r="K36" s="223">
        <f t="shared" si="11"/>
        <v>3182630</v>
      </c>
      <c r="L36" s="191">
        <v>3182630</v>
      </c>
      <c r="M36" s="149">
        <v>0</v>
      </c>
      <c r="N36" s="149">
        <v>3182630</v>
      </c>
      <c r="O36" s="222">
        <f t="shared" si="12"/>
        <v>3182630</v>
      </c>
      <c r="P36" s="191">
        <f t="shared" si="2"/>
        <v>51212370</v>
      </c>
      <c r="Q36" s="201">
        <f t="shared" si="3"/>
        <v>0</v>
      </c>
    </row>
    <row r="37" spans="1:17" s="156" customFormat="1" ht="8.25" x14ac:dyDescent="0.15">
      <c r="A37" s="213">
        <v>2110102003</v>
      </c>
      <c r="B37" s="205" t="s">
        <v>76</v>
      </c>
      <c r="C37" s="206">
        <v>37759000</v>
      </c>
      <c r="D37" s="207">
        <v>0</v>
      </c>
      <c r="E37" s="210">
        <v>0</v>
      </c>
      <c r="F37" s="207">
        <v>0</v>
      </c>
      <c r="G37" s="207">
        <v>0</v>
      </c>
      <c r="H37" s="222">
        <f t="shared" si="4"/>
        <v>37759000</v>
      </c>
      <c r="I37" s="149">
        <v>0</v>
      </c>
      <c r="J37" s="155">
        <v>34054085</v>
      </c>
      <c r="K37" s="223">
        <f t="shared" si="11"/>
        <v>34054085</v>
      </c>
      <c r="L37" s="191">
        <v>34054085</v>
      </c>
      <c r="M37" s="149">
        <v>0</v>
      </c>
      <c r="N37" s="149">
        <v>34054085</v>
      </c>
      <c r="O37" s="222">
        <f t="shared" si="12"/>
        <v>34054085</v>
      </c>
      <c r="P37" s="191">
        <f t="shared" si="2"/>
        <v>3704915</v>
      </c>
      <c r="Q37" s="201">
        <f t="shared" si="3"/>
        <v>0</v>
      </c>
    </row>
    <row r="38" spans="1:17" s="156" customFormat="1" ht="8.25" x14ac:dyDescent="0.15">
      <c r="A38" s="213">
        <v>2110102005</v>
      </c>
      <c r="B38" s="205" t="s">
        <v>78</v>
      </c>
      <c r="C38" s="206">
        <v>8456000</v>
      </c>
      <c r="D38" s="207">
        <v>0</v>
      </c>
      <c r="E38" s="210">
        <v>0</v>
      </c>
      <c r="F38" s="207">
        <v>0</v>
      </c>
      <c r="G38" s="207">
        <v>0</v>
      </c>
      <c r="H38" s="222">
        <f t="shared" si="4"/>
        <v>8456000</v>
      </c>
      <c r="I38" s="149">
        <v>0</v>
      </c>
      <c r="J38" s="155">
        <v>1938221</v>
      </c>
      <c r="K38" s="223">
        <f t="shared" si="11"/>
        <v>1938221</v>
      </c>
      <c r="L38" s="191">
        <v>1938221</v>
      </c>
      <c r="M38" s="149">
        <v>0</v>
      </c>
      <c r="N38" s="149">
        <v>1938221</v>
      </c>
      <c r="O38" s="222">
        <f t="shared" si="12"/>
        <v>1938221</v>
      </c>
      <c r="P38" s="191">
        <f t="shared" si="2"/>
        <v>6517779</v>
      </c>
      <c r="Q38" s="201">
        <f t="shared" si="3"/>
        <v>0</v>
      </c>
    </row>
    <row r="39" spans="1:17" s="193" customFormat="1" ht="8.25" x14ac:dyDescent="0.15">
      <c r="A39" s="194">
        <v>2110102</v>
      </c>
      <c r="B39" s="195" t="s">
        <v>80</v>
      </c>
      <c r="C39" s="203">
        <f>+C40+C41</f>
        <v>17393000</v>
      </c>
      <c r="D39" s="199">
        <v>0</v>
      </c>
      <c r="E39" s="202">
        <v>0</v>
      </c>
      <c r="F39" s="199">
        <v>0</v>
      </c>
      <c r="G39" s="197">
        <f>(G40)</f>
        <v>0</v>
      </c>
      <c r="H39" s="220">
        <f>(H40)+H41</f>
        <v>17393000</v>
      </c>
      <c r="I39" s="197">
        <f>(I40)+(I41)</f>
        <v>0</v>
      </c>
      <c r="J39" s="198">
        <f>J40+J41</f>
        <v>4243508</v>
      </c>
      <c r="K39" s="200">
        <f t="shared" si="11"/>
        <v>4243508</v>
      </c>
      <c r="L39" s="191">
        <v>4243508</v>
      </c>
      <c r="M39" s="197">
        <f>(M40)+M41</f>
        <v>0</v>
      </c>
      <c r="N39" s="197">
        <f>(N40)+N41</f>
        <v>4243508</v>
      </c>
      <c r="O39" s="197">
        <f t="shared" si="12"/>
        <v>4243508</v>
      </c>
      <c r="P39" s="200">
        <f t="shared" si="2"/>
        <v>13149492</v>
      </c>
      <c r="Q39" s="201">
        <f t="shared" si="3"/>
        <v>0</v>
      </c>
    </row>
    <row r="40" spans="1:17" s="156" customFormat="1" ht="8.25" x14ac:dyDescent="0.15">
      <c r="A40" s="213">
        <v>2110102004</v>
      </c>
      <c r="B40" s="205" t="s">
        <v>82</v>
      </c>
      <c r="C40" s="206">
        <v>17393000</v>
      </c>
      <c r="D40" s="207">
        <v>0</v>
      </c>
      <c r="E40" s="210">
        <v>0</v>
      </c>
      <c r="F40" s="207">
        <v>0</v>
      </c>
      <c r="G40" s="207">
        <v>0</v>
      </c>
      <c r="H40" s="222">
        <f t="shared" si="4"/>
        <v>17393000</v>
      </c>
      <c r="I40" s="149">
        <v>0</v>
      </c>
      <c r="J40" s="155">
        <v>4243508</v>
      </c>
      <c r="K40" s="191">
        <f t="shared" si="11"/>
        <v>4243508</v>
      </c>
      <c r="L40" s="191">
        <v>4243508</v>
      </c>
      <c r="M40" s="149">
        <v>0</v>
      </c>
      <c r="N40" s="149">
        <v>4243508</v>
      </c>
      <c r="O40" s="149">
        <f t="shared" si="12"/>
        <v>4243508</v>
      </c>
      <c r="P40" s="191">
        <f t="shared" si="2"/>
        <v>13149492</v>
      </c>
      <c r="Q40" s="201">
        <f t="shared" si="3"/>
        <v>0</v>
      </c>
    </row>
    <row r="41" spans="1:17" s="156" customFormat="1" ht="8.25" x14ac:dyDescent="0.15">
      <c r="A41" s="213">
        <v>10103999</v>
      </c>
      <c r="B41" s="205" t="s">
        <v>220</v>
      </c>
      <c r="C41" s="206">
        <v>0</v>
      </c>
      <c r="D41" s="224"/>
      <c r="E41" s="210"/>
      <c r="F41" s="224"/>
      <c r="G41" s="191">
        <v>0</v>
      </c>
      <c r="H41" s="222">
        <f t="shared" si="4"/>
        <v>0</v>
      </c>
      <c r="I41" s="149">
        <v>0</v>
      </c>
      <c r="J41" s="155">
        <v>0</v>
      </c>
      <c r="K41" s="191">
        <f t="shared" si="11"/>
        <v>0</v>
      </c>
      <c r="L41" s="191">
        <v>0</v>
      </c>
      <c r="M41" s="149">
        <v>0</v>
      </c>
      <c r="N41" s="149">
        <v>0</v>
      </c>
      <c r="O41" s="149">
        <f t="shared" si="12"/>
        <v>0</v>
      </c>
      <c r="P41" s="191">
        <f t="shared" si="2"/>
        <v>0</v>
      </c>
      <c r="Q41" s="201">
        <f t="shared" si="3"/>
        <v>0</v>
      </c>
    </row>
    <row r="42" spans="1:17" s="193" customFormat="1" ht="8.25" x14ac:dyDescent="0.15">
      <c r="A42" s="194">
        <v>21101</v>
      </c>
      <c r="B42" s="195" t="s">
        <v>84</v>
      </c>
      <c r="C42" s="203">
        <f t="shared" ref="C42:J42" si="13">SUM(C43+C47)</f>
        <v>21741480</v>
      </c>
      <c r="D42" s="203">
        <f t="shared" si="13"/>
        <v>0</v>
      </c>
      <c r="E42" s="203">
        <f t="shared" si="13"/>
        <v>0</v>
      </c>
      <c r="F42" s="203">
        <f t="shared" si="13"/>
        <v>0</v>
      </c>
      <c r="G42" s="203">
        <f t="shared" si="13"/>
        <v>0</v>
      </c>
      <c r="H42" s="203">
        <f t="shared" si="13"/>
        <v>21741480</v>
      </c>
      <c r="I42" s="197">
        <f t="shared" si="13"/>
        <v>0</v>
      </c>
      <c r="J42" s="197">
        <f t="shared" si="13"/>
        <v>3978285</v>
      </c>
      <c r="K42" s="191">
        <f t="shared" si="11"/>
        <v>3978285</v>
      </c>
      <c r="L42" s="197">
        <f>SUM(L43+L47)</f>
        <v>3978285</v>
      </c>
      <c r="M42" s="197">
        <f>SUM(M43+M47)</f>
        <v>0</v>
      </c>
      <c r="N42" s="197">
        <f>SUM(N43+N47)</f>
        <v>3978285</v>
      </c>
      <c r="O42" s="197">
        <f t="shared" si="12"/>
        <v>3978285</v>
      </c>
      <c r="P42" s="200">
        <f t="shared" si="2"/>
        <v>17763195</v>
      </c>
      <c r="Q42" s="201">
        <f t="shared" si="3"/>
        <v>0</v>
      </c>
    </row>
    <row r="43" spans="1:17" s="193" customFormat="1" ht="8.25" x14ac:dyDescent="0.15">
      <c r="A43" s="194">
        <v>2110102</v>
      </c>
      <c r="B43" s="195" t="s">
        <v>267</v>
      </c>
      <c r="C43" s="203">
        <f>SUM(C44:C46)</f>
        <v>0</v>
      </c>
      <c r="D43" s="203">
        <f>SUM(D44:D46)</f>
        <v>0</v>
      </c>
      <c r="E43" s="203">
        <v>0</v>
      </c>
      <c r="F43" s="203">
        <f>SUM(F44:F46)</f>
        <v>0</v>
      </c>
      <c r="G43" s="203">
        <f>SUM(G44:G46)</f>
        <v>0</v>
      </c>
      <c r="H43" s="222">
        <f>SUM(H44:H46)</f>
        <v>0</v>
      </c>
      <c r="I43" s="203">
        <f>SUM(I44:I46)</f>
        <v>0</v>
      </c>
      <c r="J43" s="225">
        <f>SUM(J44:J46)</f>
        <v>0</v>
      </c>
      <c r="K43" s="219">
        <f t="shared" si="11"/>
        <v>0</v>
      </c>
      <c r="L43" s="225">
        <f>SUM(L44:L46)</f>
        <v>0</v>
      </c>
      <c r="M43" s="203">
        <f>SUM(M44:M46)</f>
        <v>0</v>
      </c>
      <c r="N43" s="203">
        <f>SUM(N44:N46)</f>
        <v>0</v>
      </c>
      <c r="O43" s="225">
        <f t="shared" si="12"/>
        <v>0</v>
      </c>
      <c r="P43" s="200">
        <f t="shared" si="2"/>
        <v>0</v>
      </c>
      <c r="Q43" s="201">
        <f t="shared" si="3"/>
        <v>0</v>
      </c>
    </row>
    <row r="44" spans="1:17" s="193" customFormat="1" ht="8.25" x14ac:dyDescent="0.15">
      <c r="A44" s="194">
        <v>2110102002</v>
      </c>
      <c r="B44" s="195" t="s">
        <v>268</v>
      </c>
      <c r="C44" s="203">
        <v>0</v>
      </c>
      <c r="D44" s="199"/>
      <c r="E44" s="202"/>
      <c r="F44" s="199"/>
      <c r="G44" s="197">
        <v>0</v>
      </c>
      <c r="H44" s="222">
        <v>0</v>
      </c>
      <c r="I44" s="197">
        <v>0</v>
      </c>
      <c r="J44" s="226">
        <v>0</v>
      </c>
      <c r="K44" s="212">
        <f t="shared" si="11"/>
        <v>0</v>
      </c>
      <c r="L44" s="212">
        <v>0</v>
      </c>
      <c r="M44" s="197">
        <v>0</v>
      </c>
      <c r="N44" s="215">
        <v>0</v>
      </c>
      <c r="O44" s="225">
        <f t="shared" si="12"/>
        <v>0</v>
      </c>
      <c r="P44" s="200">
        <f t="shared" si="2"/>
        <v>0</v>
      </c>
      <c r="Q44" s="201">
        <f t="shared" si="3"/>
        <v>0</v>
      </c>
    </row>
    <row r="45" spans="1:17" s="193" customFormat="1" ht="8.25" x14ac:dyDescent="0.15">
      <c r="A45" s="194">
        <v>2110102001</v>
      </c>
      <c r="B45" s="195" t="s">
        <v>269</v>
      </c>
      <c r="C45" s="206">
        <v>0</v>
      </c>
      <c r="D45" s="199"/>
      <c r="E45" s="202"/>
      <c r="F45" s="199"/>
      <c r="G45" s="197"/>
      <c r="H45" s="222">
        <f t="shared" si="4"/>
        <v>0</v>
      </c>
      <c r="I45" s="197">
        <v>0</v>
      </c>
      <c r="J45" s="226">
        <v>0</v>
      </c>
      <c r="K45" s="212">
        <f t="shared" si="11"/>
        <v>0</v>
      </c>
      <c r="L45" s="212">
        <v>0</v>
      </c>
      <c r="M45" s="197">
        <v>0</v>
      </c>
      <c r="N45" s="215">
        <v>0</v>
      </c>
      <c r="O45" s="225">
        <f t="shared" si="12"/>
        <v>0</v>
      </c>
      <c r="P45" s="200">
        <f t="shared" si="2"/>
        <v>0</v>
      </c>
      <c r="Q45" s="201">
        <f t="shared" si="3"/>
        <v>0</v>
      </c>
    </row>
    <row r="46" spans="1:17" s="227" customFormat="1" ht="8.25" x14ac:dyDescent="0.15">
      <c r="A46" s="194">
        <v>2110102003</v>
      </c>
      <c r="B46" s="195" t="s">
        <v>257</v>
      </c>
      <c r="C46" s="203">
        <v>0</v>
      </c>
      <c r="D46" s="199"/>
      <c r="E46" s="198">
        <v>0</v>
      </c>
      <c r="F46" s="199"/>
      <c r="G46" s="199"/>
      <c r="H46" s="222">
        <f t="shared" si="4"/>
        <v>0</v>
      </c>
      <c r="I46" s="197"/>
      <c r="J46" s="226">
        <v>0</v>
      </c>
      <c r="K46" s="212">
        <f t="shared" si="11"/>
        <v>0</v>
      </c>
      <c r="L46" s="212">
        <v>0</v>
      </c>
      <c r="M46" s="215">
        <v>0</v>
      </c>
      <c r="N46" s="215">
        <v>0</v>
      </c>
      <c r="O46" s="225">
        <f t="shared" si="12"/>
        <v>0</v>
      </c>
      <c r="P46" s="200">
        <f t="shared" si="2"/>
        <v>0</v>
      </c>
      <c r="Q46" s="201">
        <f t="shared" si="3"/>
        <v>0</v>
      </c>
    </row>
    <row r="47" spans="1:17" s="193" customFormat="1" ht="8.25" x14ac:dyDescent="0.15">
      <c r="A47" s="213">
        <v>2110102</v>
      </c>
      <c r="B47" s="195" t="s">
        <v>80</v>
      </c>
      <c r="C47" s="196">
        <f>(C48+C49)+C50</f>
        <v>21741480</v>
      </c>
      <c r="D47" s="199">
        <v>0</v>
      </c>
      <c r="E47" s="202">
        <v>0</v>
      </c>
      <c r="F47" s="199">
        <v>0</v>
      </c>
      <c r="G47" s="197">
        <f>(G48+G49)</f>
        <v>0</v>
      </c>
      <c r="H47" s="220">
        <f>(H48+H49)+H50</f>
        <v>21741480</v>
      </c>
      <c r="I47" s="197">
        <f>(I48+I49)</f>
        <v>0</v>
      </c>
      <c r="J47" s="198">
        <f>SUM(J48+J49)</f>
        <v>3978285</v>
      </c>
      <c r="K47" s="200">
        <f t="shared" si="11"/>
        <v>3978285</v>
      </c>
      <c r="L47" s="200">
        <f>SUM(L48+L49)</f>
        <v>3978285</v>
      </c>
      <c r="M47" s="197">
        <f>(M48+M49)</f>
        <v>0</v>
      </c>
      <c r="N47" s="197">
        <f>(N48+N49)</f>
        <v>3978285</v>
      </c>
      <c r="O47" s="197">
        <f t="shared" si="12"/>
        <v>3978285</v>
      </c>
      <c r="P47" s="200">
        <f t="shared" si="2"/>
        <v>17763195</v>
      </c>
      <c r="Q47" s="201">
        <f t="shared" si="3"/>
        <v>0</v>
      </c>
    </row>
    <row r="48" spans="1:17" s="156" customFormat="1" ht="8.25" x14ac:dyDescent="0.15">
      <c r="A48" s="213">
        <v>2110102007</v>
      </c>
      <c r="B48" s="205" t="s">
        <v>87</v>
      </c>
      <c r="C48" s="206">
        <v>8696480</v>
      </c>
      <c r="D48" s="207">
        <v>0</v>
      </c>
      <c r="E48" s="210">
        <v>0</v>
      </c>
      <c r="F48" s="207">
        <v>0</v>
      </c>
      <c r="G48" s="207">
        <v>0</v>
      </c>
      <c r="H48" s="222">
        <f t="shared" si="4"/>
        <v>8696480</v>
      </c>
      <c r="I48" s="149">
        <v>0</v>
      </c>
      <c r="J48" s="155">
        <v>1591314</v>
      </c>
      <c r="K48" s="191">
        <f t="shared" si="11"/>
        <v>1591314</v>
      </c>
      <c r="L48" s="191">
        <v>1591314</v>
      </c>
      <c r="M48" s="149">
        <v>0</v>
      </c>
      <c r="N48" s="149">
        <v>1591314</v>
      </c>
      <c r="O48" s="149">
        <f t="shared" si="12"/>
        <v>1591314</v>
      </c>
      <c r="P48" s="191">
        <f t="shared" si="2"/>
        <v>7105166</v>
      </c>
      <c r="Q48" s="201">
        <f t="shared" si="3"/>
        <v>0</v>
      </c>
    </row>
    <row r="49" spans="1:18" s="156" customFormat="1" ht="8.25" x14ac:dyDescent="0.15">
      <c r="A49" s="213">
        <v>2110102006</v>
      </c>
      <c r="B49" s="205" t="s">
        <v>89</v>
      </c>
      <c r="C49" s="206">
        <v>13045000</v>
      </c>
      <c r="D49" s="207">
        <v>0</v>
      </c>
      <c r="E49" s="210">
        <v>0</v>
      </c>
      <c r="F49" s="207">
        <v>0</v>
      </c>
      <c r="G49" s="207">
        <v>0</v>
      </c>
      <c r="H49" s="222">
        <f t="shared" si="4"/>
        <v>13045000</v>
      </c>
      <c r="I49" s="149">
        <v>0</v>
      </c>
      <c r="J49" s="155">
        <v>2386971</v>
      </c>
      <c r="K49" s="191">
        <f t="shared" si="11"/>
        <v>2386971</v>
      </c>
      <c r="L49" s="191">
        <v>2386971</v>
      </c>
      <c r="M49" s="149">
        <v>0</v>
      </c>
      <c r="N49" s="149">
        <v>2386971</v>
      </c>
      <c r="O49" s="149">
        <f t="shared" si="12"/>
        <v>2386971</v>
      </c>
      <c r="P49" s="191">
        <f t="shared" si="2"/>
        <v>10658029</v>
      </c>
      <c r="Q49" s="201">
        <f t="shared" si="3"/>
        <v>0</v>
      </c>
    </row>
    <row r="50" spans="1:18" s="156" customFormat="1" ht="8.25" x14ac:dyDescent="0.15">
      <c r="A50" s="213">
        <v>2110102008</v>
      </c>
      <c r="B50" s="205" t="s">
        <v>220</v>
      </c>
      <c r="C50" s="206">
        <v>0</v>
      </c>
      <c r="D50" s="207"/>
      <c r="E50" s="210"/>
      <c r="F50" s="207"/>
      <c r="G50" s="207"/>
      <c r="H50" s="222">
        <f t="shared" si="4"/>
        <v>0</v>
      </c>
      <c r="I50" s="149"/>
      <c r="J50" s="155"/>
      <c r="K50" s="219"/>
      <c r="L50" s="191"/>
      <c r="M50" s="149"/>
      <c r="N50" s="149"/>
      <c r="O50" s="149"/>
      <c r="P50" s="191"/>
      <c r="Q50" s="201">
        <f t="shared" si="3"/>
        <v>0</v>
      </c>
    </row>
    <row r="51" spans="1:18" s="193" customFormat="1" ht="8.25" x14ac:dyDescent="0.15">
      <c r="A51" s="194">
        <v>241</v>
      </c>
      <c r="B51" s="195" t="s">
        <v>91</v>
      </c>
      <c r="C51" s="196">
        <f>(C52+C65+C70+C78)</f>
        <v>9074708520</v>
      </c>
      <c r="D51" s="199">
        <v>0</v>
      </c>
      <c r="E51" s="202">
        <v>0</v>
      </c>
      <c r="F51" s="199">
        <v>0</v>
      </c>
      <c r="G51" s="197">
        <f>(G52+G65+G69+G70+G78)</f>
        <v>0</v>
      </c>
      <c r="H51" s="197">
        <f t="shared" ref="H51:O51" si="14">(H52+H65+H70+H78)</f>
        <v>9074708520</v>
      </c>
      <c r="I51" s="197">
        <f t="shared" si="14"/>
        <v>0</v>
      </c>
      <c r="J51" s="198">
        <f t="shared" si="14"/>
        <v>4413308755</v>
      </c>
      <c r="K51" s="200">
        <f t="shared" si="14"/>
        <v>4413308755</v>
      </c>
      <c r="L51" s="200">
        <f t="shared" si="14"/>
        <v>2816853767</v>
      </c>
      <c r="M51" s="197">
        <f t="shared" si="14"/>
        <v>0</v>
      </c>
      <c r="N51" s="197">
        <f t="shared" si="14"/>
        <v>1584335718</v>
      </c>
      <c r="O51" s="197">
        <f t="shared" si="14"/>
        <v>1584335718</v>
      </c>
      <c r="P51" s="200">
        <f t="shared" si="2"/>
        <v>4661399765</v>
      </c>
      <c r="Q51" s="201">
        <f t="shared" si="3"/>
        <v>1232518049</v>
      </c>
    </row>
    <row r="52" spans="1:18" s="193" customFormat="1" ht="8.25" x14ac:dyDescent="0.15">
      <c r="A52" s="194">
        <v>2410101</v>
      </c>
      <c r="B52" s="195" t="s">
        <v>34</v>
      </c>
      <c r="C52" s="196">
        <f>(C53+C54)</f>
        <v>1416021520</v>
      </c>
      <c r="D52" s="199">
        <v>0</v>
      </c>
      <c r="E52" s="202">
        <v>0</v>
      </c>
      <c r="F52" s="199">
        <v>0</v>
      </c>
      <c r="G52" s="197">
        <f t="shared" ref="G52:O52" si="15">(G53+G54)</f>
        <v>0</v>
      </c>
      <c r="H52" s="197">
        <f t="shared" si="15"/>
        <v>1416021520</v>
      </c>
      <c r="I52" s="197">
        <f t="shared" si="15"/>
        <v>0</v>
      </c>
      <c r="J52" s="200">
        <f t="shared" si="15"/>
        <v>243242974</v>
      </c>
      <c r="K52" s="200">
        <f t="shared" si="15"/>
        <v>243242974</v>
      </c>
      <c r="L52" s="200">
        <f t="shared" si="15"/>
        <v>243242974</v>
      </c>
      <c r="M52" s="197">
        <f t="shared" si="15"/>
        <v>0</v>
      </c>
      <c r="N52" s="197">
        <f t="shared" si="15"/>
        <v>243242974</v>
      </c>
      <c r="O52" s="197">
        <f t="shared" si="15"/>
        <v>243242974</v>
      </c>
      <c r="P52" s="200">
        <f t="shared" si="2"/>
        <v>1172778546</v>
      </c>
      <c r="Q52" s="201">
        <f t="shared" si="3"/>
        <v>0</v>
      </c>
    </row>
    <row r="53" spans="1:18" s="156" customFormat="1" ht="8.25" x14ac:dyDescent="0.15">
      <c r="A53" s="204">
        <v>241010100101</v>
      </c>
      <c r="B53" s="205" t="s">
        <v>312</v>
      </c>
      <c r="C53" s="206">
        <v>1123064520</v>
      </c>
      <c r="D53" s="152">
        <v>0</v>
      </c>
      <c r="E53" s="210">
        <v>0</v>
      </c>
      <c r="F53" s="207">
        <v>0</v>
      </c>
      <c r="G53" s="207">
        <v>0</v>
      </c>
      <c r="H53" s="149">
        <f t="shared" ref="H53:H69" si="16">(C53+G53)+E53-D53</f>
        <v>1123064520</v>
      </c>
      <c r="I53" s="149">
        <v>0</v>
      </c>
      <c r="J53" s="155">
        <v>236644818</v>
      </c>
      <c r="K53" s="191">
        <f>(I53+J53)</f>
        <v>236644818</v>
      </c>
      <c r="L53" s="191">
        <v>236644818</v>
      </c>
      <c r="M53" s="149">
        <v>0</v>
      </c>
      <c r="N53" s="149">
        <v>236644818</v>
      </c>
      <c r="O53" s="149">
        <f>(M53+N53)</f>
        <v>236644818</v>
      </c>
      <c r="P53" s="191">
        <f t="shared" si="2"/>
        <v>886419702</v>
      </c>
      <c r="Q53" s="201">
        <f t="shared" si="3"/>
        <v>0</v>
      </c>
    </row>
    <row r="54" spans="1:18" s="193" customFormat="1" ht="8.25" x14ac:dyDescent="0.15">
      <c r="A54" s="204">
        <v>2410101001</v>
      </c>
      <c r="B54" s="195" t="s">
        <v>38</v>
      </c>
      <c r="C54" s="196">
        <f>(C55+C56+C57+C58+C59+C60+C61+C62+C63+C64)</f>
        <v>292957000</v>
      </c>
      <c r="D54" s="199">
        <v>0</v>
      </c>
      <c r="E54" s="202">
        <v>0</v>
      </c>
      <c r="F54" s="199">
        <v>0</v>
      </c>
      <c r="G54" s="197">
        <f t="shared" ref="G54:N54" si="17">(G55+G56+G57+G58+G59+G60+G61+G62+G63+G64)</f>
        <v>0</v>
      </c>
      <c r="H54" s="197">
        <f t="shared" si="17"/>
        <v>292957000</v>
      </c>
      <c r="I54" s="197">
        <f t="shared" si="17"/>
        <v>0</v>
      </c>
      <c r="J54" s="198">
        <f t="shared" si="17"/>
        <v>6598156</v>
      </c>
      <c r="K54" s="200">
        <f t="shared" si="17"/>
        <v>6598156</v>
      </c>
      <c r="L54" s="200">
        <f t="shared" si="17"/>
        <v>6598156</v>
      </c>
      <c r="M54" s="197">
        <f t="shared" si="17"/>
        <v>0</v>
      </c>
      <c r="N54" s="197">
        <f t="shared" si="17"/>
        <v>6598156</v>
      </c>
      <c r="O54" s="197">
        <f>(M54+N54)</f>
        <v>6598156</v>
      </c>
      <c r="P54" s="200">
        <f t="shared" si="2"/>
        <v>286358844</v>
      </c>
      <c r="Q54" s="201">
        <f t="shared" si="3"/>
        <v>0</v>
      </c>
      <c r="R54" s="228">
        <f>+H41+H69+H86+H108+H117+H123+H139+H145+H149</f>
        <v>0</v>
      </c>
    </row>
    <row r="55" spans="1:18" s="156" customFormat="1" ht="8.25" x14ac:dyDescent="0.15">
      <c r="A55" s="204">
        <v>24101010010801</v>
      </c>
      <c r="B55" s="205" t="s">
        <v>40</v>
      </c>
      <c r="C55" s="206">
        <v>104100000</v>
      </c>
      <c r="D55" s="152">
        <v>0</v>
      </c>
      <c r="E55" s="210">
        <v>0</v>
      </c>
      <c r="F55" s="207">
        <v>0</v>
      </c>
      <c r="G55" s="207">
        <v>0</v>
      </c>
      <c r="H55" s="149">
        <f t="shared" si="16"/>
        <v>104100000</v>
      </c>
      <c r="I55" s="149">
        <v>0</v>
      </c>
      <c r="J55" s="155">
        <v>0</v>
      </c>
      <c r="K55" s="191">
        <f>(I55+J55)</f>
        <v>0</v>
      </c>
      <c r="L55" s="191">
        <v>0</v>
      </c>
      <c r="M55" s="149">
        <v>0</v>
      </c>
      <c r="N55" s="149">
        <v>0</v>
      </c>
      <c r="O55" s="149">
        <f>(M55+N55)</f>
        <v>0</v>
      </c>
      <c r="P55" s="191">
        <f t="shared" si="2"/>
        <v>104100000</v>
      </c>
      <c r="Q55" s="201">
        <f t="shared" si="3"/>
        <v>0</v>
      </c>
    </row>
    <row r="56" spans="1:18" s="156" customFormat="1" ht="8.25" x14ac:dyDescent="0.15">
      <c r="A56" s="204">
        <v>241010100111</v>
      </c>
      <c r="B56" s="205" t="s">
        <v>42</v>
      </c>
      <c r="C56" s="206">
        <v>18251000</v>
      </c>
      <c r="D56" s="149">
        <v>0</v>
      </c>
      <c r="E56" s="210">
        <v>0</v>
      </c>
      <c r="F56" s="207">
        <v>0</v>
      </c>
      <c r="G56" s="207">
        <v>0</v>
      </c>
      <c r="H56" s="149">
        <f t="shared" si="16"/>
        <v>18251000</v>
      </c>
      <c r="I56" s="149">
        <v>0</v>
      </c>
      <c r="J56" s="155">
        <v>1183892</v>
      </c>
      <c r="K56" s="191">
        <f>(I56+J56)</f>
        <v>1183892</v>
      </c>
      <c r="L56" s="191">
        <v>1183892</v>
      </c>
      <c r="M56" s="149">
        <v>0</v>
      </c>
      <c r="N56" s="149">
        <v>1183892</v>
      </c>
      <c r="O56" s="149">
        <f>(M56+N56)</f>
        <v>1183892</v>
      </c>
      <c r="P56" s="191">
        <f t="shared" si="2"/>
        <v>17067108</v>
      </c>
      <c r="Q56" s="201">
        <f t="shared" si="3"/>
        <v>0</v>
      </c>
    </row>
    <row r="57" spans="1:18" s="156" customFormat="1" ht="8.25" x14ac:dyDescent="0.15">
      <c r="A57" s="204">
        <v>24101010010802</v>
      </c>
      <c r="B57" s="205" t="s">
        <v>44</v>
      </c>
      <c r="C57" s="206">
        <v>51500000</v>
      </c>
      <c r="D57" s="149">
        <v>0</v>
      </c>
      <c r="E57" s="210">
        <v>0</v>
      </c>
      <c r="F57" s="207">
        <v>0</v>
      </c>
      <c r="G57" s="207">
        <v>0</v>
      </c>
      <c r="H57" s="149">
        <f t="shared" si="16"/>
        <v>51500000</v>
      </c>
      <c r="I57" s="149">
        <v>0</v>
      </c>
      <c r="J57" s="155">
        <v>3520094</v>
      </c>
      <c r="K57" s="191">
        <f>(I57+J57)</f>
        <v>3520094</v>
      </c>
      <c r="L57" s="191">
        <v>3520094</v>
      </c>
      <c r="M57" s="149">
        <v>0</v>
      </c>
      <c r="N57" s="149">
        <v>3520094</v>
      </c>
      <c r="O57" s="149">
        <f t="shared" ref="O57:O64" si="18">(M57+N57)</f>
        <v>3520094</v>
      </c>
      <c r="P57" s="191">
        <f t="shared" si="2"/>
        <v>47979906</v>
      </c>
      <c r="Q57" s="201">
        <f t="shared" si="3"/>
        <v>0</v>
      </c>
    </row>
    <row r="58" spans="1:18" s="156" customFormat="1" ht="8.25" x14ac:dyDescent="0.15">
      <c r="A58" s="204">
        <v>241010300103</v>
      </c>
      <c r="B58" s="205" t="s">
        <v>99</v>
      </c>
      <c r="C58" s="206">
        <v>5942000</v>
      </c>
      <c r="D58" s="149">
        <v>0</v>
      </c>
      <c r="E58" s="210">
        <v>0</v>
      </c>
      <c r="F58" s="207">
        <v>0</v>
      </c>
      <c r="G58" s="207">
        <v>0</v>
      </c>
      <c r="H58" s="149">
        <f t="shared" si="16"/>
        <v>5942000</v>
      </c>
      <c r="I58" s="149">
        <v>0</v>
      </c>
      <c r="J58" s="155">
        <v>441558</v>
      </c>
      <c r="K58" s="191">
        <f>(I58+J58)</f>
        <v>441558</v>
      </c>
      <c r="L58" s="191">
        <v>441558</v>
      </c>
      <c r="M58" s="149">
        <v>0</v>
      </c>
      <c r="N58" s="149">
        <v>441558</v>
      </c>
      <c r="O58" s="149">
        <f t="shared" si="18"/>
        <v>441558</v>
      </c>
      <c r="P58" s="191">
        <f t="shared" si="2"/>
        <v>5500442</v>
      </c>
      <c r="Q58" s="201">
        <f t="shared" si="3"/>
        <v>0</v>
      </c>
    </row>
    <row r="59" spans="1:18" s="156" customFormat="1" ht="8.25" x14ac:dyDescent="0.15">
      <c r="A59" s="204">
        <v>241010100106</v>
      </c>
      <c r="B59" s="205" t="s">
        <v>48</v>
      </c>
      <c r="C59" s="206">
        <v>50985000</v>
      </c>
      <c r="D59" s="149">
        <v>0</v>
      </c>
      <c r="E59" s="210">
        <v>0</v>
      </c>
      <c r="F59" s="207">
        <v>0</v>
      </c>
      <c r="G59" s="207">
        <v>0</v>
      </c>
      <c r="H59" s="149">
        <f t="shared" si="16"/>
        <v>50985000</v>
      </c>
      <c r="I59" s="149">
        <v>0</v>
      </c>
      <c r="J59" s="155">
        <v>0</v>
      </c>
      <c r="K59" s="191">
        <f t="shared" ref="K59:K64" si="19">(I59+J59)</f>
        <v>0</v>
      </c>
      <c r="L59" s="191">
        <v>0</v>
      </c>
      <c r="M59" s="149">
        <v>0</v>
      </c>
      <c r="N59" s="149">
        <v>0</v>
      </c>
      <c r="O59" s="149">
        <f t="shared" si="18"/>
        <v>0</v>
      </c>
      <c r="P59" s="191">
        <f t="shared" si="2"/>
        <v>50985000</v>
      </c>
      <c r="Q59" s="201">
        <f t="shared" si="3"/>
        <v>0</v>
      </c>
    </row>
    <row r="60" spans="1:18" s="156" customFormat="1" ht="8.25" x14ac:dyDescent="0.15">
      <c r="A60" s="204">
        <v>241010100107</v>
      </c>
      <c r="B60" s="205" t="s">
        <v>50</v>
      </c>
      <c r="C60" s="206">
        <v>31888000</v>
      </c>
      <c r="D60" s="149">
        <v>0</v>
      </c>
      <c r="E60" s="210">
        <v>0</v>
      </c>
      <c r="F60" s="207">
        <v>0</v>
      </c>
      <c r="G60" s="207">
        <v>0</v>
      </c>
      <c r="H60" s="149">
        <f t="shared" si="16"/>
        <v>31888000</v>
      </c>
      <c r="I60" s="149">
        <v>0</v>
      </c>
      <c r="J60" s="155">
        <v>0</v>
      </c>
      <c r="K60" s="191">
        <f t="shared" si="19"/>
        <v>0</v>
      </c>
      <c r="L60" s="191">
        <v>0</v>
      </c>
      <c r="M60" s="149">
        <v>0</v>
      </c>
      <c r="N60" s="149">
        <v>0</v>
      </c>
      <c r="O60" s="149">
        <f t="shared" si="18"/>
        <v>0</v>
      </c>
      <c r="P60" s="191">
        <f t="shared" si="2"/>
        <v>31888000</v>
      </c>
      <c r="Q60" s="201">
        <f t="shared" si="3"/>
        <v>0</v>
      </c>
    </row>
    <row r="61" spans="1:18" s="156" customFormat="1" ht="8.25" x14ac:dyDescent="0.15">
      <c r="A61" s="204">
        <v>241010100105</v>
      </c>
      <c r="B61" s="205" t="s">
        <v>52</v>
      </c>
      <c r="C61" s="206">
        <v>5493000</v>
      </c>
      <c r="D61" s="149">
        <v>0</v>
      </c>
      <c r="E61" s="210">
        <v>0</v>
      </c>
      <c r="F61" s="207">
        <v>0</v>
      </c>
      <c r="G61" s="207">
        <v>0</v>
      </c>
      <c r="H61" s="149">
        <f t="shared" si="16"/>
        <v>5493000</v>
      </c>
      <c r="I61" s="149">
        <v>0</v>
      </c>
      <c r="J61" s="155">
        <v>638724</v>
      </c>
      <c r="K61" s="191">
        <f t="shared" si="19"/>
        <v>638724</v>
      </c>
      <c r="L61" s="191">
        <v>638724</v>
      </c>
      <c r="M61" s="149">
        <v>0</v>
      </c>
      <c r="N61" s="149">
        <v>638724</v>
      </c>
      <c r="O61" s="149">
        <f t="shared" si="18"/>
        <v>638724</v>
      </c>
      <c r="P61" s="191">
        <f t="shared" si="2"/>
        <v>4854276</v>
      </c>
      <c r="Q61" s="201">
        <f t="shared" si="3"/>
        <v>0</v>
      </c>
    </row>
    <row r="62" spans="1:18" s="156" customFormat="1" ht="8.25" x14ac:dyDescent="0.15">
      <c r="A62" s="204">
        <v>241010100104</v>
      </c>
      <c r="B62" s="205" t="s">
        <v>54</v>
      </c>
      <c r="C62" s="206">
        <v>4798000</v>
      </c>
      <c r="D62" s="149">
        <v>0</v>
      </c>
      <c r="E62" s="210">
        <v>0</v>
      </c>
      <c r="F62" s="207">
        <v>0</v>
      </c>
      <c r="G62" s="207">
        <v>0</v>
      </c>
      <c r="H62" s="149">
        <f t="shared" si="16"/>
        <v>4798000</v>
      </c>
      <c r="I62" s="149">
        <v>0</v>
      </c>
      <c r="J62" s="155">
        <v>813888</v>
      </c>
      <c r="K62" s="191">
        <f t="shared" si="19"/>
        <v>813888</v>
      </c>
      <c r="L62" s="191">
        <v>813888</v>
      </c>
      <c r="M62" s="149">
        <v>0</v>
      </c>
      <c r="N62" s="149">
        <v>813888</v>
      </c>
      <c r="O62" s="149">
        <f t="shared" si="18"/>
        <v>813888</v>
      </c>
      <c r="P62" s="191">
        <f t="shared" si="2"/>
        <v>3984112</v>
      </c>
      <c r="Q62" s="201">
        <f t="shared" si="3"/>
        <v>0</v>
      </c>
    </row>
    <row r="63" spans="1:18" s="156" customFormat="1" ht="8.25" x14ac:dyDescent="0.15">
      <c r="A63" s="204">
        <v>241010300102</v>
      </c>
      <c r="B63" s="205" t="s">
        <v>56</v>
      </c>
      <c r="C63" s="206">
        <v>20000000</v>
      </c>
      <c r="D63" s="152">
        <v>0</v>
      </c>
      <c r="E63" s="155">
        <v>0</v>
      </c>
      <c r="F63" s="207"/>
      <c r="G63" s="207"/>
      <c r="H63" s="149">
        <f t="shared" si="16"/>
        <v>20000000</v>
      </c>
      <c r="I63" s="149">
        <v>0</v>
      </c>
      <c r="J63" s="155">
        <v>0</v>
      </c>
      <c r="K63" s="191">
        <f t="shared" si="19"/>
        <v>0</v>
      </c>
      <c r="L63" s="191">
        <v>0</v>
      </c>
      <c r="M63" s="149">
        <v>0</v>
      </c>
      <c r="N63" s="149">
        <v>0</v>
      </c>
      <c r="O63" s="149">
        <f t="shared" si="18"/>
        <v>0</v>
      </c>
      <c r="P63" s="191">
        <f t="shared" si="2"/>
        <v>20000000</v>
      </c>
      <c r="Q63" s="201">
        <f t="shared" si="3"/>
        <v>0</v>
      </c>
    </row>
    <row r="64" spans="1:18" s="156" customFormat="1" ht="8.25" x14ac:dyDescent="0.15">
      <c r="A64" s="204">
        <v>241010300108</v>
      </c>
      <c r="B64" s="205" t="s">
        <v>220</v>
      </c>
      <c r="C64" s="206">
        <v>0</v>
      </c>
      <c r="D64" s="149">
        <v>0</v>
      </c>
      <c r="E64" s="210">
        <v>0</v>
      </c>
      <c r="F64" s="207">
        <v>0</v>
      </c>
      <c r="G64" s="149">
        <v>0</v>
      </c>
      <c r="H64" s="149">
        <f t="shared" si="16"/>
        <v>0</v>
      </c>
      <c r="I64" s="149">
        <v>0</v>
      </c>
      <c r="J64" s="229">
        <v>0</v>
      </c>
      <c r="K64" s="191">
        <f t="shared" si="19"/>
        <v>0</v>
      </c>
      <c r="L64" s="219">
        <v>0</v>
      </c>
      <c r="M64" s="214">
        <v>0</v>
      </c>
      <c r="N64" s="214">
        <v>0</v>
      </c>
      <c r="O64" s="209">
        <f t="shared" si="18"/>
        <v>0</v>
      </c>
      <c r="P64" s="191">
        <f t="shared" si="2"/>
        <v>0</v>
      </c>
      <c r="Q64" s="201">
        <f t="shared" si="3"/>
        <v>0</v>
      </c>
    </row>
    <row r="65" spans="1:34" s="193" customFormat="1" ht="8.25" x14ac:dyDescent="0.15">
      <c r="A65" s="194">
        <v>242</v>
      </c>
      <c r="B65" s="195" t="s">
        <v>58</v>
      </c>
      <c r="C65" s="196">
        <f>(C66+C67+C68+C69)</f>
        <v>7166870000</v>
      </c>
      <c r="D65" s="199">
        <v>0</v>
      </c>
      <c r="E65" s="202">
        <v>0</v>
      </c>
      <c r="F65" s="199">
        <v>0</v>
      </c>
      <c r="G65" s="197">
        <v>0</v>
      </c>
      <c r="H65" s="197">
        <f t="shared" ref="H65:O65" si="20">(H66+H67+H68+H69)</f>
        <v>7166870000</v>
      </c>
      <c r="I65" s="197">
        <f t="shared" si="20"/>
        <v>0</v>
      </c>
      <c r="J65" s="198">
        <f t="shared" si="20"/>
        <v>3989254843</v>
      </c>
      <c r="K65" s="200">
        <f t="shared" si="20"/>
        <v>3989254843</v>
      </c>
      <c r="L65" s="200">
        <f t="shared" si="20"/>
        <v>2392799855</v>
      </c>
      <c r="M65" s="197">
        <f t="shared" si="20"/>
        <v>0</v>
      </c>
      <c r="N65" s="197">
        <f t="shared" si="20"/>
        <v>1160281806</v>
      </c>
      <c r="O65" s="197">
        <f t="shared" si="20"/>
        <v>1160281806</v>
      </c>
      <c r="P65" s="200">
        <f t="shared" si="2"/>
        <v>3177615157</v>
      </c>
      <c r="Q65" s="201">
        <f t="shared" si="3"/>
        <v>1232518049</v>
      </c>
    </row>
    <row r="66" spans="1:34" s="156" customFormat="1" ht="8.25" x14ac:dyDescent="0.15">
      <c r="A66" s="204">
        <v>242020200810</v>
      </c>
      <c r="B66" s="205" t="s">
        <v>60</v>
      </c>
      <c r="C66" s="206">
        <v>2913870000</v>
      </c>
      <c r="D66" s="152">
        <v>0</v>
      </c>
      <c r="E66" s="155">
        <v>0</v>
      </c>
      <c r="F66" s="207">
        <v>0</v>
      </c>
      <c r="G66" s="149">
        <v>0</v>
      </c>
      <c r="H66" s="149">
        <f t="shared" si="16"/>
        <v>2913870000</v>
      </c>
      <c r="I66" s="149">
        <v>0</v>
      </c>
      <c r="J66" s="155">
        <v>1383555609</v>
      </c>
      <c r="K66" s="191">
        <f>(I66+J66)</f>
        <v>1383555609</v>
      </c>
      <c r="L66" s="191">
        <v>1098324273</v>
      </c>
      <c r="M66" s="149">
        <v>0</v>
      </c>
      <c r="N66" s="149">
        <v>492575449</v>
      </c>
      <c r="O66" s="149">
        <f>(M66+N66)</f>
        <v>492575449</v>
      </c>
      <c r="P66" s="191">
        <f t="shared" si="2"/>
        <v>1530314391</v>
      </c>
      <c r="Q66" s="201">
        <f t="shared" si="3"/>
        <v>605748824</v>
      </c>
    </row>
    <row r="67" spans="1:34" s="156" customFormat="1" ht="8.25" x14ac:dyDescent="0.15">
      <c r="A67" s="204">
        <v>242020200811</v>
      </c>
      <c r="B67" s="205" t="s">
        <v>62</v>
      </c>
      <c r="C67" s="206">
        <v>30000000</v>
      </c>
      <c r="D67" s="152">
        <v>0</v>
      </c>
      <c r="E67" s="155">
        <v>0</v>
      </c>
      <c r="F67" s="207">
        <v>0</v>
      </c>
      <c r="G67" s="207">
        <v>0</v>
      </c>
      <c r="H67" s="149">
        <f t="shared" si="16"/>
        <v>30000000</v>
      </c>
      <c r="I67" s="149">
        <v>0</v>
      </c>
      <c r="J67" s="155">
        <v>4200000</v>
      </c>
      <c r="K67" s="191">
        <f>(I67+J67)</f>
        <v>4200000</v>
      </c>
      <c r="L67" s="191">
        <v>4200000</v>
      </c>
      <c r="M67" s="209">
        <v>0</v>
      </c>
      <c r="N67" s="209">
        <v>4200000</v>
      </c>
      <c r="O67" s="209">
        <f>(M67+N67)</f>
        <v>4200000</v>
      </c>
      <c r="P67" s="191">
        <f t="shared" si="2"/>
        <v>25800000</v>
      </c>
      <c r="Q67" s="201">
        <f t="shared" si="3"/>
        <v>0</v>
      </c>
    </row>
    <row r="68" spans="1:34" s="156" customFormat="1" ht="8.25" x14ac:dyDescent="0.15">
      <c r="A68" s="204">
        <v>242020200812</v>
      </c>
      <c r="B68" s="205" t="s">
        <v>108</v>
      </c>
      <c r="C68" s="206">
        <v>4223000000</v>
      </c>
      <c r="D68" s="149">
        <v>0</v>
      </c>
      <c r="E68" s="154">
        <v>0</v>
      </c>
      <c r="F68" s="207">
        <v>0</v>
      </c>
      <c r="G68" s="149">
        <v>0</v>
      </c>
      <c r="H68" s="149">
        <f t="shared" si="16"/>
        <v>4223000000</v>
      </c>
      <c r="I68" s="149">
        <v>0</v>
      </c>
      <c r="J68" s="155">
        <v>2601499234</v>
      </c>
      <c r="K68" s="191">
        <f>(I68+J68)</f>
        <v>2601499234</v>
      </c>
      <c r="L68" s="191">
        <v>1290275582</v>
      </c>
      <c r="M68" s="149">
        <v>0</v>
      </c>
      <c r="N68" s="149">
        <v>663506357</v>
      </c>
      <c r="O68" s="149">
        <f>(M68+N68)</f>
        <v>663506357</v>
      </c>
      <c r="P68" s="191">
        <f t="shared" si="2"/>
        <v>1621500766</v>
      </c>
      <c r="Q68" s="201">
        <f t="shared" si="3"/>
        <v>626769225</v>
      </c>
    </row>
    <row r="69" spans="1:34" s="156" customFormat="1" ht="8.25" x14ac:dyDescent="0.15">
      <c r="A69" s="204">
        <v>242020200813</v>
      </c>
      <c r="B69" s="205" t="s">
        <v>220</v>
      </c>
      <c r="C69" s="206">
        <v>0</v>
      </c>
      <c r="D69" s="149">
        <v>0</v>
      </c>
      <c r="E69" s="210">
        <v>0</v>
      </c>
      <c r="F69" s="207">
        <v>0</v>
      </c>
      <c r="G69" s="149">
        <v>0</v>
      </c>
      <c r="H69" s="149">
        <f t="shared" si="16"/>
        <v>0</v>
      </c>
      <c r="I69" s="149">
        <v>0</v>
      </c>
      <c r="J69" s="155">
        <v>0</v>
      </c>
      <c r="K69" s="191">
        <f>(I69+J69)</f>
        <v>0</v>
      </c>
      <c r="L69" s="191">
        <v>0</v>
      </c>
      <c r="M69" s="149">
        <v>0</v>
      </c>
      <c r="N69" s="149">
        <v>0</v>
      </c>
      <c r="O69" s="149">
        <f>(M69+N69)</f>
        <v>0</v>
      </c>
      <c r="P69" s="191">
        <f t="shared" si="2"/>
        <v>0</v>
      </c>
      <c r="Q69" s="201">
        <f t="shared" si="3"/>
        <v>0</v>
      </c>
      <c r="V69" s="156" t="s">
        <v>270</v>
      </c>
      <c r="W69" s="156" t="s">
        <v>271</v>
      </c>
      <c r="X69" s="156" t="s">
        <v>272</v>
      </c>
    </row>
    <row r="70" spans="1:34" s="193" customFormat="1" ht="8.25" x14ac:dyDescent="0.15">
      <c r="A70" s="194">
        <v>241</v>
      </c>
      <c r="B70" s="195" t="s">
        <v>68</v>
      </c>
      <c r="C70" s="196">
        <f>(C71+C76)</f>
        <v>441183000</v>
      </c>
      <c r="D70" s="199">
        <v>0</v>
      </c>
      <c r="E70" s="202">
        <v>0</v>
      </c>
      <c r="F70" s="199">
        <v>0</v>
      </c>
      <c r="G70" s="197">
        <f t="shared" ref="G70:O70" si="21">(G71+G76)</f>
        <v>0</v>
      </c>
      <c r="H70" s="197">
        <f t="shared" si="21"/>
        <v>441183000</v>
      </c>
      <c r="I70" s="197">
        <f t="shared" si="21"/>
        <v>0</v>
      </c>
      <c r="J70" s="198">
        <f t="shared" si="21"/>
        <v>168998924</v>
      </c>
      <c r="K70" s="200">
        <f t="shared" si="21"/>
        <v>168998924</v>
      </c>
      <c r="L70" s="200">
        <f t="shared" si="21"/>
        <v>168998924</v>
      </c>
      <c r="M70" s="215">
        <f t="shared" si="21"/>
        <v>0</v>
      </c>
      <c r="N70" s="197">
        <f t="shared" si="21"/>
        <v>168998924</v>
      </c>
      <c r="O70" s="197">
        <f t="shared" si="21"/>
        <v>168998924</v>
      </c>
      <c r="P70" s="200">
        <f t="shared" si="2"/>
        <v>272184076</v>
      </c>
      <c r="Q70" s="201">
        <f t="shared" si="3"/>
        <v>0</v>
      </c>
      <c r="U70" s="193" t="s">
        <v>274</v>
      </c>
      <c r="V70" s="230">
        <v>3141600</v>
      </c>
      <c r="W70" s="230">
        <v>55601792</v>
      </c>
      <c r="X70" s="230">
        <v>9583600</v>
      </c>
      <c r="Y70" s="228">
        <f>SUM(V70:X70)</f>
        <v>68326992</v>
      </c>
    </row>
    <row r="71" spans="1:34" s="193" customFormat="1" ht="8.25" x14ac:dyDescent="0.15">
      <c r="A71" s="194">
        <v>24101</v>
      </c>
      <c r="B71" s="195" t="s">
        <v>70</v>
      </c>
      <c r="C71" s="196">
        <f>SUM(C72:C75)</f>
        <v>400677000</v>
      </c>
      <c r="D71" s="199">
        <v>0</v>
      </c>
      <c r="E71" s="202">
        <v>0</v>
      </c>
      <c r="F71" s="199">
        <v>0</v>
      </c>
      <c r="G71" s="197">
        <f t="shared" ref="G71:O71" si="22">(G72+G73+G74+G75)</f>
        <v>0</v>
      </c>
      <c r="H71" s="197">
        <f t="shared" si="22"/>
        <v>400677000</v>
      </c>
      <c r="I71" s="197">
        <f t="shared" si="22"/>
        <v>0</v>
      </c>
      <c r="J71" s="197">
        <f>SUM(J72:J75)</f>
        <v>159549315</v>
      </c>
      <c r="K71" s="200">
        <f t="shared" si="22"/>
        <v>159549315</v>
      </c>
      <c r="L71" s="197">
        <f>SUM(L72:L75)</f>
        <v>159549315</v>
      </c>
      <c r="M71" s="215">
        <f t="shared" si="22"/>
        <v>0</v>
      </c>
      <c r="N71" s="197">
        <f t="shared" si="22"/>
        <v>159549315</v>
      </c>
      <c r="O71" s="197">
        <f t="shared" si="22"/>
        <v>159549315</v>
      </c>
      <c r="P71" s="200">
        <f t="shared" si="2"/>
        <v>241127685</v>
      </c>
      <c r="Q71" s="201">
        <f t="shared" si="3"/>
        <v>0</v>
      </c>
      <c r="U71" s="193" t="s">
        <v>275</v>
      </c>
      <c r="V71" s="230">
        <v>26570000</v>
      </c>
      <c r="W71" s="230">
        <v>41690000</v>
      </c>
      <c r="X71" s="230">
        <v>44950000</v>
      </c>
      <c r="Y71" s="228">
        <f t="shared" ref="Y71:Y93" si="23">SUM(V71:X71)</f>
        <v>113210000</v>
      </c>
    </row>
    <row r="72" spans="1:34" s="156" customFormat="1" ht="8.25" x14ac:dyDescent="0.15">
      <c r="A72" s="213">
        <v>2410102002</v>
      </c>
      <c r="B72" s="205" t="s">
        <v>301</v>
      </c>
      <c r="C72" s="206">
        <v>95636000</v>
      </c>
      <c r="D72" s="149">
        <v>0</v>
      </c>
      <c r="E72" s="210">
        <v>0</v>
      </c>
      <c r="F72" s="207">
        <v>0</v>
      </c>
      <c r="G72" s="149">
        <v>0</v>
      </c>
      <c r="H72" s="149">
        <f t="shared" ref="H72:H86" si="24">(C72+G72)+E72-D72</f>
        <v>95636000</v>
      </c>
      <c r="I72" s="149">
        <v>0</v>
      </c>
      <c r="J72" s="155">
        <v>25045257</v>
      </c>
      <c r="K72" s="223">
        <f t="shared" ref="K72:K77" si="25">(I72+J72)</f>
        <v>25045257</v>
      </c>
      <c r="L72" s="191">
        <v>25045257</v>
      </c>
      <c r="M72" s="149">
        <v>0</v>
      </c>
      <c r="N72" s="149">
        <v>25045257</v>
      </c>
      <c r="O72" s="222">
        <f t="shared" ref="O72:O77" si="26">(M72+N72)</f>
        <v>25045257</v>
      </c>
      <c r="P72" s="191">
        <f t="shared" si="2"/>
        <v>70590743</v>
      </c>
      <c r="Q72" s="201">
        <f t="shared" si="3"/>
        <v>0</v>
      </c>
      <c r="U72" s="156" t="s">
        <v>278</v>
      </c>
      <c r="V72" s="230">
        <v>0</v>
      </c>
      <c r="W72" s="157">
        <v>368857</v>
      </c>
      <c r="X72" s="157">
        <v>737716</v>
      </c>
      <c r="Y72" s="228">
        <f t="shared" si="23"/>
        <v>1106573</v>
      </c>
    </row>
    <row r="73" spans="1:34" s="156" customFormat="1" ht="8.25" x14ac:dyDescent="0.15">
      <c r="A73" s="213">
        <v>2410102001</v>
      </c>
      <c r="B73" s="205" t="s">
        <v>298</v>
      </c>
      <c r="C73" s="206">
        <v>163613000</v>
      </c>
      <c r="D73" s="149">
        <v>0</v>
      </c>
      <c r="E73" s="210">
        <v>0</v>
      </c>
      <c r="F73" s="207">
        <v>0</v>
      </c>
      <c r="G73" s="149">
        <v>0</v>
      </c>
      <c r="H73" s="149">
        <f t="shared" si="24"/>
        <v>163613000</v>
      </c>
      <c r="I73" s="149">
        <v>0</v>
      </c>
      <c r="J73" s="155">
        <v>35914045</v>
      </c>
      <c r="K73" s="223">
        <f t="shared" si="25"/>
        <v>35914045</v>
      </c>
      <c r="L73" s="191">
        <v>35914045</v>
      </c>
      <c r="M73" s="214">
        <v>0</v>
      </c>
      <c r="N73" s="149">
        <v>35914045</v>
      </c>
      <c r="O73" s="222">
        <f t="shared" si="26"/>
        <v>35914045</v>
      </c>
      <c r="P73" s="191">
        <f t="shared" si="2"/>
        <v>127698955</v>
      </c>
      <c r="Q73" s="201">
        <f t="shared" si="3"/>
        <v>0</v>
      </c>
      <c r="V73" s="157"/>
      <c r="W73" s="157"/>
      <c r="X73" s="157"/>
      <c r="Y73" s="228">
        <f t="shared" si="23"/>
        <v>0</v>
      </c>
    </row>
    <row r="74" spans="1:34" s="156" customFormat="1" ht="8.25" x14ac:dyDescent="0.15">
      <c r="A74" s="213">
        <v>2410102003</v>
      </c>
      <c r="B74" s="205" t="s">
        <v>299</v>
      </c>
      <c r="C74" s="206">
        <v>114795000</v>
      </c>
      <c r="D74" s="207">
        <v>0</v>
      </c>
      <c r="E74" s="210">
        <v>0</v>
      </c>
      <c r="F74" s="207">
        <v>0</v>
      </c>
      <c r="G74" s="149">
        <v>0</v>
      </c>
      <c r="H74" s="149">
        <f t="shared" si="24"/>
        <v>114795000</v>
      </c>
      <c r="I74" s="149">
        <v>0</v>
      </c>
      <c r="J74" s="155">
        <v>92830634</v>
      </c>
      <c r="K74" s="223">
        <f t="shared" si="25"/>
        <v>92830634</v>
      </c>
      <c r="L74" s="191">
        <v>92830634</v>
      </c>
      <c r="M74" s="149">
        <v>0</v>
      </c>
      <c r="N74" s="149">
        <v>92830634</v>
      </c>
      <c r="O74" s="222">
        <f t="shared" si="26"/>
        <v>92830634</v>
      </c>
      <c r="P74" s="191">
        <f t="shared" si="2"/>
        <v>21964366</v>
      </c>
      <c r="Q74" s="201">
        <f t="shared" si="3"/>
        <v>0</v>
      </c>
      <c r="U74" s="156" t="s">
        <v>276</v>
      </c>
      <c r="V74" s="230">
        <v>0</v>
      </c>
      <c r="W74" s="230">
        <v>0</v>
      </c>
      <c r="X74" s="157"/>
      <c r="Y74" s="228">
        <f t="shared" si="23"/>
        <v>0</v>
      </c>
    </row>
    <row r="75" spans="1:34" s="156" customFormat="1" ht="8.25" x14ac:dyDescent="0.15">
      <c r="A75" s="213">
        <v>2410102005</v>
      </c>
      <c r="B75" s="205" t="s">
        <v>300</v>
      </c>
      <c r="C75" s="206">
        <v>26633000</v>
      </c>
      <c r="D75" s="207">
        <v>0</v>
      </c>
      <c r="E75" s="210">
        <v>0</v>
      </c>
      <c r="F75" s="207">
        <v>0</v>
      </c>
      <c r="G75" s="149">
        <v>0</v>
      </c>
      <c r="H75" s="149">
        <f t="shared" si="24"/>
        <v>26633000</v>
      </c>
      <c r="I75" s="149">
        <v>0</v>
      </c>
      <c r="J75" s="155">
        <v>5759379</v>
      </c>
      <c r="K75" s="191">
        <f t="shared" si="25"/>
        <v>5759379</v>
      </c>
      <c r="L75" s="191">
        <v>5759379</v>
      </c>
      <c r="M75" s="149">
        <v>0</v>
      </c>
      <c r="N75" s="149">
        <v>5759379</v>
      </c>
      <c r="O75" s="149">
        <f t="shared" si="26"/>
        <v>5759379</v>
      </c>
      <c r="P75" s="191">
        <f t="shared" si="2"/>
        <v>20873621</v>
      </c>
      <c r="Q75" s="201">
        <f t="shared" ref="Q75:Q135" si="27">(L75-O75)</f>
        <v>0</v>
      </c>
      <c r="U75" s="156" t="s">
        <v>277</v>
      </c>
      <c r="V75" s="230">
        <v>2500000</v>
      </c>
      <c r="W75" s="230">
        <v>19539940</v>
      </c>
      <c r="X75" s="230">
        <v>10694020</v>
      </c>
      <c r="Y75" s="228">
        <f t="shared" si="23"/>
        <v>32733960</v>
      </c>
    </row>
    <row r="76" spans="1:34" s="238" customFormat="1" ht="8.25" x14ac:dyDescent="0.15">
      <c r="A76" s="213">
        <v>2410102</v>
      </c>
      <c r="B76" s="231" t="s">
        <v>80</v>
      </c>
      <c r="C76" s="232">
        <f>SUM(C77:C77)</f>
        <v>40506000</v>
      </c>
      <c r="D76" s="150">
        <v>0</v>
      </c>
      <c r="E76" s="153">
        <v>0</v>
      </c>
      <c r="F76" s="150">
        <v>0</v>
      </c>
      <c r="G76" s="233">
        <f>SUM(G77:G77)</f>
        <v>0</v>
      </c>
      <c r="H76" s="233">
        <f>SUM(H77:H77)</f>
        <v>40506000</v>
      </c>
      <c r="I76" s="233">
        <f>SUM(I77:I77)</f>
        <v>0</v>
      </c>
      <c r="J76" s="233">
        <f>SUM(J77:J77)</f>
        <v>9449609</v>
      </c>
      <c r="K76" s="234">
        <f t="shared" si="25"/>
        <v>9449609</v>
      </c>
      <c r="L76" s="233">
        <f>SUM(L77:L77)</f>
        <v>9449609</v>
      </c>
      <c r="M76" s="233">
        <f>SUM(M77:M77)</f>
        <v>0</v>
      </c>
      <c r="N76" s="233">
        <f>SUM(N77:N77)</f>
        <v>9449609</v>
      </c>
      <c r="O76" s="151">
        <f t="shared" si="26"/>
        <v>9449609</v>
      </c>
      <c r="P76" s="235">
        <f t="shared" si="2"/>
        <v>31056391</v>
      </c>
      <c r="Q76" s="201">
        <f t="shared" si="27"/>
        <v>0</v>
      </c>
      <c r="R76" s="236"/>
      <c r="S76" s="236"/>
      <c r="T76" s="236"/>
      <c r="U76" s="236"/>
      <c r="V76" s="237">
        <f>SUM(V70:V75)</f>
        <v>32211600</v>
      </c>
      <c r="W76" s="237">
        <f>SUM(W70:W75)</f>
        <v>117200589</v>
      </c>
      <c r="X76" s="237">
        <f>SUM(X70:X75)</f>
        <v>65965336</v>
      </c>
      <c r="Y76" s="228">
        <f t="shared" si="23"/>
        <v>215377525</v>
      </c>
      <c r="Z76" s="236"/>
      <c r="AA76" s="236"/>
      <c r="AB76" s="236"/>
      <c r="AC76" s="236"/>
      <c r="AD76" s="236"/>
      <c r="AE76" s="236"/>
      <c r="AF76" s="236"/>
      <c r="AG76" s="236"/>
      <c r="AH76" s="236"/>
    </row>
    <row r="77" spans="1:34" s="156" customFormat="1" ht="8.25" x14ac:dyDescent="0.15">
      <c r="A77" s="213">
        <v>2410102004</v>
      </c>
      <c r="B77" s="205" t="s">
        <v>82</v>
      </c>
      <c r="C77" s="206">
        <v>40506000</v>
      </c>
      <c r="D77" s="149">
        <v>0</v>
      </c>
      <c r="E77" s="210">
        <v>0</v>
      </c>
      <c r="F77" s="207">
        <v>0</v>
      </c>
      <c r="G77" s="207">
        <v>0</v>
      </c>
      <c r="H77" s="149">
        <f t="shared" si="24"/>
        <v>40506000</v>
      </c>
      <c r="I77" s="149">
        <v>0</v>
      </c>
      <c r="J77" s="155">
        <v>9449609</v>
      </c>
      <c r="K77" s="191">
        <f t="shared" si="25"/>
        <v>9449609</v>
      </c>
      <c r="L77" s="191">
        <v>9449609</v>
      </c>
      <c r="M77" s="149">
        <v>0</v>
      </c>
      <c r="N77" s="149">
        <v>9449609</v>
      </c>
      <c r="O77" s="149">
        <f t="shared" si="26"/>
        <v>9449609</v>
      </c>
      <c r="P77" s="191">
        <f t="shared" si="2"/>
        <v>31056391</v>
      </c>
      <c r="Q77" s="201">
        <f t="shared" si="27"/>
        <v>0</v>
      </c>
      <c r="R77" s="157"/>
      <c r="V77" s="157"/>
      <c r="W77" s="157"/>
      <c r="X77" s="157"/>
      <c r="Y77" s="228"/>
    </row>
    <row r="78" spans="1:34" s="193" customFormat="1" ht="8.25" x14ac:dyDescent="0.15">
      <c r="A78" s="213">
        <v>24101</v>
      </c>
      <c r="B78" s="195" t="s">
        <v>84</v>
      </c>
      <c r="C78" s="196">
        <f>(C79+C83)</f>
        <v>50634000</v>
      </c>
      <c r="D78" s="199">
        <v>0</v>
      </c>
      <c r="E78" s="202">
        <v>0</v>
      </c>
      <c r="F78" s="199">
        <v>0</v>
      </c>
      <c r="G78" s="197">
        <f t="shared" ref="G78:O78" si="28">(G79+G83)</f>
        <v>0</v>
      </c>
      <c r="H78" s="197">
        <f t="shared" si="28"/>
        <v>50634000</v>
      </c>
      <c r="I78" s="197">
        <f t="shared" si="28"/>
        <v>0</v>
      </c>
      <c r="J78" s="198">
        <f t="shared" si="28"/>
        <v>11812014</v>
      </c>
      <c r="K78" s="200">
        <f t="shared" si="28"/>
        <v>11812014</v>
      </c>
      <c r="L78" s="200">
        <f t="shared" si="28"/>
        <v>11812014</v>
      </c>
      <c r="M78" s="225">
        <f t="shared" si="28"/>
        <v>0</v>
      </c>
      <c r="N78" s="197">
        <f t="shared" si="28"/>
        <v>11812014</v>
      </c>
      <c r="O78" s="197">
        <f t="shared" si="28"/>
        <v>11812014</v>
      </c>
      <c r="P78" s="200">
        <f t="shared" si="2"/>
        <v>38821986</v>
      </c>
      <c r="Q78" s="201">
        <f t="shared" si="27"/>
        <v>0</v>
      </c>
      <c r="V78" s="230"/>
      <c r="W78" s="230"/>
      <c r="X78" s="230"/>
      <c r="Y78" s="228"/>
    </row>
    <row r="79" spans="1:34" s="193" customFormat="1" ht="8.25" x14ac:dyDescent="0.15">
      <c r="A79" s="213">
        <v>2410102</v>
      </c>
      <c r="B79" s="195" t="s">
        <v>70</v>
      </c>
      <c r="C79" s="196">
        <f>(C80+C81+C82)</f>
        <v>0</v>
      </c>
      <c r="D79" s="199">
        <v>0</v>
      </c>
      <c r="E79" s="202">
        <v>0</v>
      </c>
      <c r="F79" s="199">
        <v>0</v>
      </c>
      <c r="G79" s="197">
        <f t="shared" ref="G79:O79" si="29">(G80+G81+G82)</f>
        <v>0</v>
      </c>
      <c r="H79" s="197">
        <f t="shared" si="29"/>
        <v>0</v>
      </c>
      <c r="I79" s="197">
        <f t="shared" si="29"/>
        <v>0</v>
      </c>
      <c r="J79" s="198">
        <f t="shared" si="29"/>
        <v>0</v>
      </c>
      <c r="K79" s="200">
        <f t="shared" si="29"/>
        <v>0</v>
      </c>
      <c r="L79" s="200">
        <f t="shared" si="29"/>
        <v>0</v>
      </c>
      <c r="M79" s="225">
        <f t="shared" si="29"/>
        <v>0</v>
      </c>
      <c r="N79" s="197">
        <f t="shared" si="29"/>
        <v>0</v>
      </c>
      <c r="O79" s="197">
        <f t="shared" si="29"/>
        <v>0</v>
      </c>
      <c r="P79" s="200">
        <f t="shared" si="2"/>
        <v>0</v>
      </c>
      <c r="Q79" s="201">
        <f t="shared" si="27"/>
        <v>0</v>
      </c>
      <c r="V79" s="230"/>
      <c r="W79" s="230"/>
      <c r="X79" s="230"/>
      <c r="Y79" s="228"/>
    </row>
    <row r="80" spans="1:34" s="156" customFormat="1" ht="8.25" x14ac:dyDescent="0.15">
      <c r="A80" s="213">
        <v>2410102006</v>
      </c>
      <c r="B80" s="205" t="s">
        <v>297</v>
      </c>
      <c r="C80" s="206">
        <v>0</v>
      </c>
      <c r="D80" s="149">
        <v>0</v>
      </c>
      <c r="E80" s="210">
        <v>0</v>
      </c>
      <c r="F80" s="207">
        <v>0</v>
      </c>
      <c r="G80" s="207">
        <v>0</v>
      </c>
      <c r="H80" s="149">
        <f t="shared" si="24"/>
        <v>0</v>
      </c>
      <c r="I80" s="149">
        <v>0</v>
      </c>
      <c r="J80" s="155">
        <v>0</v>
      </c>
      <c r="K80" s="223">
        <f>(I80+J80)</f>
        <v>0</v>
      </c>
      <c r="L80" s="191">
        <v>0</v>
      </c>
      <c r="M80" s="209">
        <v>0</v>
      </c>
      <c r="N80" s="149">
        <v>0</v>
      </c>
      <c r="O80" s="222">
        <f>(M80+N80)</f>
        <v>0</v>
      </c>
      <c r="P80" s="191">
        <f t="shared" si="2"/>
        <v>0</v>
      </c>
      <c r="Q80" s="201">
        <f t="shared" si="27"/>
        <v>0</v>
      </c>
      <c r="U80" s="156" t="s">
        <v>279</v>
      </c>
      <c r="V80" s="157"/>
      <c r="W80" s="157">
        <v>0</v>
      </c>
      <c r="X80" s="157">
        <v>0</v>
      </c>
      <c r="Y80" s="228">
        <f t="shared" si="23"/>
        <v>0</v>
      </c>
    </row>
    <row r="81" spans="1:28" s="156" customFormat="1" ht="8.25" x14ac:dyDescent="0.15">
      <c r="A81" s="213">
        <v>2410102007</v>
      </c>
      <c r="B81" s="205" t="s">
        <v>298</v>
      </c>
      <c r="C81" s="206">
        <v>0</v>
      </c>
      <c r="D81" s="149">
        <v>0</v>
      </c>
      <c r="E81" s="210">
        <v>0</v>
      </c>
      <c r="F81" s="207">
        <v>0</v>
      </c>
      <c r="G81" s="207">
        <v>0</v>
      </c>
      <c r="H81" s="149">
        <f t="shared" si="24"/>
        <v>0</v>
      </c>
      <c r="I81" s="149">
        <v>0</v>
      </c>
      <c r="J81" s="155">
        <v>0</v>
      </c>
      <c r="K81" s="191">
        <f>(I81+J81)</f>
        <v>0</v>
      </c>
      <c r="L81" s="191">
        <v>0</v>
      </c>
      <c r="M81" s="209">
        <v>0</v>
      </c>
      <c r="N81" s="149">
        <v>0</v>
      </c>
      <c r="O81" s="209">
        <f>(M81+N81)</f>
        <v>0</v>
      </c>
      <c r="P81" s="191">
        <f t="shared" si="2"/>
        <v>0</v>
      </c>
      <c r="Q81" s="201">
        <f t="shared" si="27"/>
        <v>0</v>
      </c>
      <c r="U81" s="193" t="s">
        <v>280</v>
      </c>
      <c r="V81" s="230">
        <v>0</v>
      </c>
      <c r="W81" s="230">
        <v>0</v>
      </c>
      <c r="X81" s="230">
        <v>0</v>
      </c>
      <c r="Y81" s="228">
        <f>SUM(V81:X81)</f>
        <v>0</v>
      </c>
    </row>
    <row r="82" spans="1:28" s="156" customFormat="1" ht="8.25" x14ac:dyDescent="0.15">
      <c r="A82" s="213">
        <v>2410102008</v>
      </c>
      <c r="B82" s="205" t="s">
        <v>302</v>
      </c>
      <c r="C82" s="206">
        <v>0</v>
      </c>
      <c r="D82" s="149">
        <v>0</v>
      </c>
      <c r="E82" s="210">
        <v>0</v>
      </c>
      <c r="F82" s="207">
        <v>0</v>
      </c>
      <c r="G82" s="207">
        <v>0</v>
      </c>
      <c r="H82" s="149">
        <f t="shared" si="24"/>
        <v>0</v>
      </c>
      <c r="I82" s="149">
        <v>0</v>
      </c>
      <c r="J82" s="155">
        <v>0</v>
      </c>
      <c r="K82" s="191">
        <f>(I82+J82)</f>
        <v>0</v>
      </c>
      <c r="L82" s="191">
        <v>0</v>
      </c>
      <c r="M82" s="209">
        <v>0</v>
      </c>
      <c r="N82" s="149">
        <v>0</v>
      </c>
      <c r="O82" s="209">
        <f>(M82+N82)</f>
        <v>0</v>
      </c>
      <c r="P82" s="191">
        <f t="shared" si="2"/>
        <v>0</v>
      </c>
      <c r="Q82" s="201">
        <f t="shared" si="27"/>
        <v>0</v>
      </c>
      <c r="U82" s="156" t="s">
        <v>280</v>
      </c>
      <c r="V82" s="157">
        <v>0</v>
      </c>
      <c r="W82" s="157"/>
      <c r="X82" s="157">
        <v>0</v>
      </c>
      <c r="Y82" s="228">
        <f t="shared" si="23"/>
        <v>0</v>
      </c>
    </row>
    <row r="83" spans="1:28" s="193" customFormat="1" ht="8.25" x14ac:dyDescent="0.15">
      <c r="A83" s="213">
        <v>24101</v>
      </c>
      <c r="B83" s="195" t="s">
        <v>80</v>
      </c>
      <c r="C83" s="196">
        <f>(C84+C85+C86)</f>
        <v>50634000</v>
      </c>
      <c r="D83" s="199">
        <v>0</v>
      </c>
      <c r="E83" s="202">
        <v>0</v>
      </c>
      <c r="F83" s="199">
        <v>0</v>
      </c>
      <c r="G83" s="197">
        <f t="shared" ref="G83:O83" si="30">(G84+G85+G86)</f>
        <v>0</v>
      </c>
      <c r="H83" s="197">
        <f t="shared" si="30"/>
        <v>50634000</v>
      </c>
      <c r="I83" s="197">
        <f t="shared" si="30"/>
        <v>0</v>
      </c>
      <c r="J83" s="197">
        <f>(J84+J85)+J86</f>
        <v>11812014</v>
      </c>
      <c r="K83" s="198">
        <f t="shared" si="30"/>
        <v>11812014</v>
      </c>
      <c r="L83" s="197">
        <f t="shared" si="30"/>
        <v>11812014</v>
      </c>
      <c r="M83" s="225">
        <f t="shared" si="30"/>
        <v>0</v>
      </c>
      <c r="N83" s="197">
        <f>(N84+N85+N86)</f>
        <v>11812014</v>
      </c>
      <c r="O83" s="225">
        <f t="shared" si="30"/>
        <v>11812014</v>
      </c>
      <c r="P83" s="200">
        <f t="shared" si="2"/>
        <v>38821986</v>
      </c>
      <c r="Q83" s="201">
        <f t="shared" si="27"/>
        <v>0</v>
      </c>
      <c r="V83" s="230">
        <f>SUM(V80:V82)</f>
        <v>0</v>
      </c>
      <c r="W83" s="230">
        <f>SUM(W80:W82)</f>
        <v>0</v>
      </c>
      <c r="X83" s="230">
        <f>SUM(X80:X82)</f>
        <v>0</v>
      </c>
      <c r="Y83" s="228">
        <f>SUM(Y80:Y82)</f>
        <v>0</v>
      </c>
    </row>
    <row r="84" spans="1:28" s="156" customFormat="1" ht="8.25" x14ac:dyDescent="0.15">
      <c r="A84" s="213">
        <v>2410102007</v>
      </c>
      <c r="B84" s="205" t="s">
        <v>87</v>
      </c>
      <c r="C84" s="206">
        <v>20254000</v>
      </c>
      <c r="D84" s="207">
        <v>0</v>
      </c>
      <c r="E84" s="155">
        <v>0</v>
      </c>
      <c r="F84" s="207">
        <v>0</v>
      </c>
      <c r="G84" s="209">
        <v>0</v>
      </c>
      <c r="H84" s="149">
        <f t="shared" si="24"/>
        <v>20254000</v>
      </c>
      <c r="I84" s="149">
        <v>0</v>
      </c>
      <c r="J84" s="155">
        <v>4724806</v>
      </c>
      <c r="K84" s="191">
        <f>(I84+J84)</f>
        <v>4724806</v>
      </c>
      <c r="L84" s="191">
        <v>4724806</v>
      </c>
      <c r="M84" s="149">
        <v>0</v>
      </c>
      <c r="N84" s="149">
        <v>4724806</v>
      </c>
      <c r="O84" s="149">
        <f>(M84+N84)</f>
        <v>4724806</v>
      </c>
      <c r="P84" s="191">
        <f t="shared" si="2"/>
        <v>15529194</v>
      </c>
      <c r="Q84" s="201">
        <f t="shared" si="27"/>
        <v>0</v>
      </c>
      <c r="V84" s="157"/>
      <c r="W84" s="157"/>
      <c r="X84" s="157"/>
      <c r="Y84" s="228"/>
    </row>
    <row r="85" spans="1:28" s="156" customFormat="1" ht="8.25" x14ac:dyDescent="0.15">
      <c r="A85" s="213">
        <v>2410102006</v>
      </c>
      <c r="B85" s="205" t="s">
        <v>89</v>
      </c>
      <c r="C85" s="206">
        <v>30380000</v>
      </c>
      <c r="D85" s="207">
        <v>0</v>
      </c>
      <c r="E85" s="155">
        <v>0</v>
      </c>
      <c r="F85" s="207">
        <v>0</v>
      </c>
      <c r="G85" s="209">
        <v>0</v>
      </c>
      <c r="H85" s="149">
        <f t="shared" si="24"/>
        <v>30380000</v>
      </c>
      <c r="I85" s="149">
        <v>0</v>
      </c>
      <c r="J85" s="155">
        <v>7087208</v>
      </c>
      <c r="K85" s="191">
        <f>(I85+J85)</f>
        <v>7087208</v>
      </c>
      <c r="L85" s="191">
        <v>7087208</v>
      </c>
      <c r="M85" s="149">
        <v>0</v>
      </c>
      <c r="N85" s="149">
        <v>7087208</v>
      </c>
      <c r="O85" s="149">
        <f>(M85+N85)</f>
        <v>7087208</v>
      </c>
      <c r="P85" s="191">
        <f t="shared" si="2"/>
        <v>23292792</v>
      </c>
      <c r="Q85" s="201">
        <f t="shared" si="27"/>
        <v>0</v>
      </c>
      <c r="T85" s="156">
        <v>2010199</v>
      </c>
      <c r="U85" s="156" t="s">
        <v>293</v>
      </c>
      <c r="V85" s="157">
        <v>29018676</v>
      </c>
      <c r="W85" s="157"/>
      <c r="X85" s="157">
        <v>1260000</v>
      </c>
      <c r="Y85" s="228">
        <f>SUM(V85:X85)</f>
        <v>30278676</v>
      </c>
      <c r="Z85" s="156" t="s">
        <v>296</v>
      </c>
    </row>
    <row r="86" spans="1:28" s="156" customFormat="1" ht="8.25" x14ac:dyDescent="0.15">
      <c r="A86" s="213">
        <v>2410102008</v>
      </c>
      <c r="B86" s="205" t="s">
        <v>220</v>
      </c>
      <c r="C86" s="206">
        <v>0</v>
      </c>
      <c r="D86" s="207">
        <v>0</v>
      </c>
      <c r="E86" s="210">
        <v>0</v>
      </c>
      <c r="F86" s="207">
        <v>0</v>
      </c>
      <c r="G86" s="149">
        <v>0</v>
      </c>
      <c r="H86" s="149">
        <f t="shared" si="24"/>
        <v>0</v>
      </c>
      <c r="I86" s="149">
        <v>0</v>
      </c>
      <c r="J86" s="229">
        <v>0</v>
      </c>
      <c r="K86" s="191">
        <f>(I86+J86)</f>
        <v>0</v>
      </c>
      <c r="L86" s="191">
        <v>0</v>
      </c>
      <c r="M86" s="149">
        <v>0</v>
      </c>
      <c r="N86" s="149">
        <v>0</v>
      </c>
      <c r="O86" s="149">
        <f>(M86+N86)</f>
        <v>0</v>
      </c>
      <c r="P86" s="191">
        <f t="shared" si="2"/>
        <v>0</v>
      </c>
      <c r="Q86" s="201">
        <f t="shared" si="27"/>
        <v>0</v>
      </c>
      <c r="T86" s="156">
        <v>2010299</v>
      </c>
      <c r="U86" s="156" t="s">
        <v>293</v>
      </c>
      <c r="V86" s="157">
        <v>31307896</v>
      </c>
      <c r="W86" s="157">
        <v>31459256</v>
      </c>
      <c r="X86" s="157">
        <v>9218194</v>
      </c>
      <c r="Y86" s="228">
        <f>SUM(V86:X86)</f>
        <v>71985346</v>
      </c>
      <c r="Z86" s="156" t="s">
        <v>296</v>
      </c>
    </row>
    <row r="87" spans="1:28" s="193" customFormat="1" ht="8.25" x14ac:dyDescent="0.15">
      <c r="A87" s="194">
        <v>212</v>
      </c>
      <c r="B87" s="195" t="s">
        <v>128</v>
      </c>
      <c r="C87" s="196">
        <f>+C88+C111</f>
        <v>4326000000</v>
      </c>
      <c r="D87" s="199">
        <v>0</v>
      </c>
      <c r="E87" s="202">
        <v>0</v>
      </c>
      <c r="F87" s="199">
        <v>0</v>
      </c>
      <c r="G87" s="197">
        <f>+G88+G111</f>
        <v>0</v>
      </c>
      <c r="H87" s="197">
        <f>+H88+H111</f>
        <v>4326000000</v>
      </c>
      <c r="I87" s="197">
        <f>+I88+I111</f>
        <v>0</v>
      </c>
      <c r="J87" s="198">
        <f>(J88+J111)</f>
        <v>2685059783</v>
      </c>
      <c r="K87" s="200">
        <f>(K88+K111)</f>
        <v>2685059783</v>
      </c>
      <c r="L87" s="200">
        <f t="shared" ref="L87" si="31">(L88+L111)</f>
        <v>1813256632</v>
      </c>
      <c r="M87" s="197">
        <f>(M88+M111)</f>
        <v>0</v>
      </c>
      <c r="N87" s="197">
        <f>(N88+N111)</f>
        <v>1181823598</v>
      </c>
      <c r="O87" s="197">
        <f>(O88+O111)</f>
        <v>1181823598</v>
      </c>
      <c r="P87" s="200">
        <f t="shared" si="2"/>
        <v>1640940217</v>
      </c>
      <c r="Q87" s="201">
        <f t="shared" si="27"/>
        <v>631433034</v>
      </c>
      <c r="T87" s="156">
        <v>2020199</v>
      </c>
      <c r="U87" s="156" t="s">
        <v>293</v>
      </c>
      <c r="V87" s="157">
        <v>48268031</v>
      </c>
      <c r="W87" s="157">
        <v>21880426</v>
      </c>
      <c r="X87" s="157">
        <v>71740108</v>
      </c>
      <c r="Y87" s="228">
        <f>SUM(V87:X87)</f>
        <v>141888565</v>
      </c>
    </row>
    <row r="88" spans="1:28" s="193" customFormat="1" ht="8.25" x14ac:dyDescent="0.15">
      <c r="A88" s="194">
        <v>2120201</v>
      </c>
      <c r="B88" s="195" t="s">
        <v>32</v>
      </c>
      <c r="C88" s="196">
        <f>(C89+C93+C109)</f>
        <v>2534700000</v>
      </c>
      <c r="D88" s="199">
        <v>0</v>
      </c>
      <c r="E88" s="202">
        <v>0</v>
      </c>
      <c r="F88" s="199">
        <v>0</v>
      </c>
      <c r="G88" s="197">
        <f t="shared" ref="G88:O88" si="32">(G89+G93+G109)</f>
        <v>0</v>
      </c>
      <c r="H88" s="197">
        <f t="shared" si="32"/>
        <v>2534700000</v>
      </c>
      <c r="I88" s="197">
        <f t="shared" si="32"/>
        <v>0</v>
      </c>
      <c r="J88" s="197">
        <f t="shared" si="32"/>
        <v>1380236995</v>
      </c>
      <c r="K88" s="200">
        <f t="shared" si="32"/>
        <v>1380236995</v>
      </c>
      <c r="L88" s="197">
        <f t="shared" si="32"/>
        <v>857510701</v>
      </c>
      <c r="M88" s="197">
        <f t="shared" si="32"/>
        <v>0</v>
      </c>
      <c r="N88" s="197">
        <f t="shared" si="32"/>
        <v>487462058</v>
      </c>
      <c r="O88" s="197">
        <f t="shared" si="32"/>
        <v>487462058</v>
      </c>
      <c r="P88" s="200">
        <f t="shared" ref="P88:P149" si="33">(H88-K88)</f>
        <v>1154463005</v>
      </c>
      <c r="Q88" s="201">
        <f t="shared" si="27"/>
        <v>370048643</v>
      </c>
      <c r="T88" s="156">
        <v>2020299</v>
      </c>
      <c r="U88" s="156" t="s">
        <v>293</v>
      </c>
      <c r="V88" s="157">
        <v>84781797</v>
      </c>
      <c r="W88" s="157">
        <v>46302668</v>
      </c>
      <c r="X88" s="157">
        <v>43271575</v>
      </c>
      <c r="Y88" s="228">
        <f>SUM(V88:X88)</f>
        <v>174356040</v>
      </c>
    </row>
    <row r="89" spans="1:28" s="193" customFormat="1" ht="8.25" x14ac:dyDescent="0.15">
      <c r="A89" s="194">
        <v>212020100</v>
      </c>
      <c r="B89" s="195" t="s">
        <v>131</v>
      </c>
      <c r="C89" s="203">
        <f>+C90+C91+C92</f>
        <v>715300000</v>
      </c>
      <c r="D89" s="199">
        <v>0</v>
      </c>
      <c r="E89" s="202">
        <v>0</v>
      </c>
      <c r="F89" s="199">
        <v>0</v>
      </c>
      <c r="G89" s="197">
        <f t="shared" ref="G89:O89" si="34">(G90+G91+G92)</f>
        <v>0</v>
      </c>
      <c r="H89" s="197">
        <f t="shared" si="34"/>
        <v>891600000</v>
      </c>
      <c r="I89" s="197">
        <f t="shared" si="34"/>
        <v>0</v>
      </c>
      <c r="J89" s="197">
        <f t="shared" si="34"/>
        <v>571518273</v>
      </c>
      <c r="K89" s="200">
        <f t="shared" si="34"/>
        <v>571518273</v>
      </c>
      <c r="L89" s="197">
        <f t="shared" si="34"/>
        <v>358935308</v>
      </c>
      <c r="M89" s="197">
        <f>(M90+M91+M92)</f>
        <v>0</v>
      </c>
      <c r="N89" s="197">
        <f t="shared" si="34"/>
        <v>107265325</v>
      </c>
      <c r="O89" s="197">
        <f t="shared" si="34"/>
        <v>107265325</v>
      </c>
      <c r="P89" s="200">
        <f t="shared" si="33"/>
        <v>320081727</v>
      </c>
      <c r="Q89" s="201">
        <f t="shared" si="27"/>
        <v>251669983</v>
      </c>
      <c r="V89" s="230"/>
      <c r="W89" s="230"/>
      <c r="X89" s="230"/>
      <c r="Y89" s="228"/>
    </row>
    <row r="90" spans="1:28" s="156" customFormat="1" ht="8.25" x14ac:dyDescent="0.15">
      <c r="A90" s="204">
        <v>212020100309</v>
      </c>
      <c r="B90" s="205" t="s">
        <v>313</v>
      </c>
      <c r="C90" s="206">
        <v>416300000</v>
      </c>
      <c r="D90" s="152">
        <v>0</v>
      </c>
      <c r="E90" s="155">
        <v>176300000</v>
      </c>
      <c r="F90" s="207">
        <v>0</v>
      </c>
      <c r="G90" s="209">
        <v>0</v>
      </c>
      <c r="H90" s="149">
        <f t="shared" ref="H90:H92" si="35">(C90+G90)+E90-D90</f>
        <v>592600000</v>
      </c>
      <c r="I90" s="149">
        <v>0</v>
      </c>
      <c r="J90" s="239">
        <v>568518273</v>
      </c>
      <c r="K90" s="223">
        <f>(I90+J90)</f>
        <v>568518273</v>
      </c>
      <c r="L90" s="235">
        <v>358935308</v>
      </c>
      <c r="M90" s="149">
        <v>0</v>
      </c>
      <c r="N90" s="149">
        <v>107265325</v>
      </c>
      <c r="O90" s="149">
        <f>(M90+N90)</f>
        <v>107265325</v>
      </c>
      <c r="P90" s="191">
        <f t="shared" si="33"/>
        <v>24081727</v>
      </c>
      <c r="Q90" s="201">
        <f t="shared" si="27"/>
        <v>251669983</v>
      </c>
      <c r="V90" s="157"/>
      <c r="W90" s="157"/>
      <c r="X90" s="157"/>
      <c r="Y90" s="228"/>
    </row>
    <row r="91" spans="1:28" s="156" customFormat="1" ht="8.25" x14ac:dyDescent="0.15">
      <c r="A91" s="204">
        <v>212020100307</v>
      </c>
      <c r="B91" s="205" t="s">
        <v>314</v>
      </c>
      <c r="C91" s="206">
        <v>299000000</v>
      </c>
      <c r="D91" s="152">
        <v>0</v>
      </c>
      <c r="E91" s="155">
        <v>0</v>
      </c>
      <c r="F91" s="207">
        <v>0</v>
      </c>
      <c r="G91" s="149">
        <v>0</v>
      </c>
      <c r="H91" s="149">
        <f t="shared" si="35"/>
        <v>299000000</v>
      </c>
      <c r="I91" s="149">
        <v>0</v>
      </c>
      <c r="J91" s="239">
        <v>3000000</v>
      </c>
      <c r="K91" s="223">
        <f>(I91+J91)</f>
        <v>3000000</v>
      </c>
      <c r="L91" s="235">
        <v>0</v>
      </c>
      <c r="M91" s="149">
        <v>0</v>
      </c>
      <c r="N91" s="149">
        <v>0</v>
      </c>
      <c r="O91" s="149">
        <f>(M91+N91)</f>
        <v>0</v>
      </c>
      <c r="P91" s="191">
        <f t="shared" si="33"/>
        <v>296000000</v>
      </c>
      <c r="Q91" s="201">
        <f t="shared" si="27"/>
        <v>0</v>
      </c>
      <c r="U91" s="156" t="s">
        <v>266</v>
      </c>
      <c r="V91" s="157">
        <v>36569717</v>
      </c>
      <c r="W91" s="157">
        <v>43122015</v>
      </c>
      <c r="X91" s="157">
        <v>41350852</v>
      </c>
      <c r="Y91" s="228">
        <f t="shared" si="23"/>
        <v>121042584</v>
      </c>
      <c r="AA91" s="156">
        <v>133401742</v>
      </c>
      <c r="AB91" s="156" t="s">
        <v>290</v>
      </c>
    </row>
    <row r="92" spans="1:28" s="156" customFormat="1" ht="8.25" x14ac:dyDescent="0.15">
      <c r="A92" s="204">
        <v>212020100308</v>
      </c>
      <c r="B92" s="205" t="s">
        <v>220</v>
      </c>
      <c r="C92" s="206">
        <v>0</v>
      </c>
      <c r="D92" s="207"/>
      <c r="E92" s="155"/>
      <c r="F92" s="207"/>
      <c r="G92" s="149">
        <v>0</v>
      </c>
      <c r="H92" s="149">
        <f t="shared" si="35"/>
        <v>0</v>
      </c>
      <c r="I92" s="149">
        <v>0</v>
      </c>
      <c r="J92" s="155">
        <v>0</v>
      </c>
      <c r="K92" s="223">
        <f>(I92+J92)</f>
        <v>0</v>
      </c>
      <c r="L92" s="191">
        <v>0</v>
      </c>
      <c r="M92" s="219">
        <v>0</v>
      </c>
      <c r="N92" s="191">
        <v>0</v>
      </c>
      <c r="O92" s="149">
        <f>(M92+N92)</f>
        <v>0</v>
      </c>
      <c r="P92" s="191">
        <f t="shared" si="33"/>
        <v>0</v>
      </c>
      <c r="Q92" s="201">
        <f t="shared" si="27"/>
        <v>0</v>
      </c>
      <c r="V92" s="157"/>
      <c r="W92" s="157"/>
      <c r="X92" s="157"/>
      <c r="Y92" s="228">
        <f t="shared" si="23"/>
        <v>0</v>
      </c>
    </row>
    <row r="93" spans="1:28" s="193" customFormat="1" ht="8.25" x14ac:dyDescent="0.15">
      <c r="A93" s="194">
        <v>212</v>
      </c>
      <c r="B93" s="195" t="s">
        <v>137</v>
      </c>
      <c r="C93" s="196">
        <f>(C94+C95+C96+C97+C98+C99+C100+C101+C102+C103+C104+C105+C106+C107+C108)</f>
        <v>1799400000</v>
      </c>
      <c r="D93" s="199">
        <v>0</v>
      </c>
      <c r="E93" s="202">
        <v>0</v>
      </c>
      <c r="F93" s="199">
        <v>0</v>
      </c>
      <c r="G93" s="197">
        <f t="shared" ref="G93" si="36">(G94+G95+G96+G97+G98+G99+G101+G103+G104+G105+G106+G108)</f>
        <v>0</v>
      </c>
      <c r="H93" s="197">
        <f>(H94+H95+H96+H97+H98+H99+H100+H101+H102+H103+H104+H105+H106+H107+H108)</f>
        <v>1623100000</v>
      </c>
      <c r="I93" s="197">
        <f t="shared" ref="I93:M93" si="37">(I94+I95+I96+I97+I98+I99+I101+I103+I104+I105+I106+I107+I108)</f>
        <v>0</v>
      </c>
      <c r="J93" s="198">
        <f>(J94+J95+J96+J97+J98+J99+J100+J101+J102+J103+J104+J105+J106+J107+J108)</f>
        <v>802270953</v>
      </c>
      <c r="K93" s="200">
        <f>(K94+K95+K96+K97+K98+K99+K100+K101+K102+K103+K104+K105+K106+K107+K108)</f>
        <v>802270953</v>
      </c>
      <c r="L93" s="200">
        <f>(L94+L95+L96+L97+L98+L99+L100+L101+L102+L103+L104+L105+L106+L107+L108)</f>
        <v>492127624</v>
      </c>
      <c r="M93" s="200">
        <f t="shared" si="37"/>
        <v>0</v>
      </c>
      <c r="N93" s="200">
        <f>(N94+N95+N96+N97+N98+N99+N100+N101+N103+N104+N105+N106+N107+N108)</f>
        <v>373748964</v>
      </c>
      <c r="O93" s="197">
        <f>(O94+O95+O96+O97+O98+O99+O100+O101+O103+O104+O105+O106+O107+O108)</f>
        <v>373748964</v>
      </c>
      <c r="P93" s="200">
        <f t="shared" si="33"/>
        <v>820829047</v>
      </c>
      <c r="Q93" s="201">
        <f t="shared" si="27"/>
        <v>118378660</v>
      </c>
      <c r="Y93" s="228">
        <f t="shared" si="23"/>
        <v>0</v>
      </c>
    </row>
    <row r="94" spans="1:28" s="156" customFormat="1" ht="8.25" x14ac:dyDescent="0.15">
      <c r="A94" s="204">
        <v>21202020070301</v>
      </c>
      <c r="B94" s="205" t="s">
        <v>315</v>
      </c>
      <c r="C94" s="206">
        <v>103000000</v>
      </c>
      <c r="D94" s="152">
        <v>0</v>
      </c>
      <c r="E94" s="155">
        <v>0</v>
      </c>
      <c r="F94" s="207">
        <v>0</v>
      </c>
      <c r="G94" s="149">
        <v>0</v>
      </c>
      <c r="H94" s="149">
        <f t="shared" ref="H94:H105" si="38">(C94+G94)+E94-D94</f>
        <v>103000000</v>
      </c>
      <c r="I94" s="149">
        <v>0</v>
      </c>
      <c r="J94" s="239">
        <v>36586440</v>
      </c>
      <c r="K94" s="223">
        <f>(I94+J94)</f>
        <v>36586440</v>
      </c>
      <c r="L94" s="235">
        <v>36586440</v>
      </c>
      <c r="M94" s="209">
        <v>0</v>
      </c>
      <c r="N94" s="149">
        <v>26490972</v>
      </c>
      <c r="O94" s="149">
        <f>(M94+N94)</f>
        <v>26490972</v>
      </c>
      <c r="P94" s="191">
        <f t="shared" si="33"/>
        <v>66413560</v>
      </c>
      <c r="Q94" s="201">
        <f t="shared" si="27"/>
        <v>10095468</v>
      </c>
    </row>
    <row r="95" spans="1:28" s="156" customFormat="1" ht="8.25" x14ac:dyDescent="0.15">
      <c r="A95" s="204">
        <v>2120201003312</v>
      </c>
      <c r="B95" s="205" t="s">
        <v>141</v>
      </c>
      <c r="C95" s="206">
        <v>280000000</v>
      </c>
      <c r="D95" s="149">
        <v>176300000</v>
      </c>
      <c r="E95" s="155">
        <v>0</v>
      </c>
      <c r="F95" s="207">
        <v>0</v>
      </c>
      <c r="G95" s="149">
        <v>0</v>
      </c>
      <c r="H95" s="149">
        <f t="shared" si="38"/>
        <v>103700000</v>
      </c>
      <c r="I95" s="149">
        <v>0</v>
      </c>
      <c r="J95" s="239">
        <v>77800000</v>
      </c>
      <c r="K95" s="223">
        <f t="shared" ref="K95:K108" si="39">(I95+J95)</f>
        <v>77800000</v>
      </c>
      <c r="L95" s="235">
        <v>47220000</v>
      </c>
      <c r="M95" s="149">
        <v>0</v>
      </c>
      <c r="N95" s="149">
        <v>22962694</v>
      </c>
      <c r="O95" s="149">
        <f t="shared" ref="O95:O108" si="40">(M95+N95)</f>
        <v>22962694</v>
      </c>
      <c r="P95" s="191">
        <f t="shared" si="33"/>
        <v>25900000</v>
      </c>
      <c r="Q95" s="201">
        <f t="shared" si="27"/>
        <v>24257306</v>
      </c>
      <c r="S95" s="159">
        <f>+N95+N97+N98+N103+N104+N105+N106+N122</f>
        <v>246848523</v>
      </c>
      <c r="T95" s="156" t="s">
        <v>273</v>
      </c>
    </row>
    <row r="96" spans="1:28" s="156" customFormat="1" ht="8.25" x14ac:dyDescent="0.15">
      <c r="A96" s="204">
        <v>21202020080101</v>
      </c>
      <c r="B96" s="205" t="s">
        <v>316</v>
      </c>
      <c r="C96" s="206">
        <v>410000000</v>
      </c>
      <c r="D96" s="149">
        <v>0</v>
      </c>
      <c r="E96" s="154">
        <v>0</v>
      </c>
      <c r="F96" s="207">
        <v>0</v>
      </c>
      <c r="G96" s="149">
        <v>0</v>
      </c>
      <c r="H96" s="149">
        <f t="shared" si="38"/>
        <v>410000000</v>
      </c>
      <c r="I96" s="149">
        <v>0</v>
      </c>
      <c r="J96" s="239">
        <v>129355093</v>
      </c>
      <c r="K96" s="223">
        <f t="shared" si="39"/>
        <v>129355093</v>
      </c>
      <c r="L96" s="235">
        <v>129355093</v>
      </c>
      <c r="M96" s="149">
        <v>0</v>
      </c>
      <c r="N96" s="149">
        <v>129355093</v>
      </c>
      <c r="O96" s="149">
        <f t="shared" si="40"/>
        <v>129355093</v>
      </c>
      <c r="P96" s="191">
        <f t="shared" si="33"/>
        <v>280644907</v>
      </c>
      <c r="Q96" s="201">
        <f t="shared" si="27"/>
        <v>0</v>
      </c>
    </row>
    <row r="97" spans="1:25" s="156" customFormat="1" ht="8.25" x14ac:dyDescent="0.15">
      <c r="A97" s="204">
        <v>212020200604</v>
      </c>
      <c r="B97" s="205" t="s">
        <v>317</v>
      </c>
      <c r="C97" s="206">
        <v>290000000</v>
      </c>
      <c r="D97" s="149">
        <v>0</v>
      </c>
      <c r="E97" s="155">
        <v>0</v>
      </c>
      <c r="F97" s="207">
        <v>0</v>
      </c>
      <c r="G97" s="149">
        <v>0</v>
      </c>
      <c r="H97" s="149">
        <f t="shared" si="38"/>
        <v>290000000</v>
      </c>
      <c r="I97" s="149">
        <v>0</v>
      </c>
      <c r="J97" s="239">
        <v>265300000</v>
      </c>
      <c r="K97" s="223">
        <f t="shared" si="39"/>
        <v>265300000</v>
      </c>
      <c r="L97" s="235">
        <v>84664000</v>
      </c>
      <c r="M97" s="149">
        <v>0</v>
      </c>
      <c r="N97" s="149">
        <v>68855759</v>
      </c>
      <c r="O97" s="149">
        <f t="shared" si="40"/>
        <v>68855759</v>
      </c>
      <c r="P97" s="191">
        <f t="shared" si="33"/>
        <v>24700000</v>
      </c>
      <c r="Q97" s="201">
        <f t="shared" si="27"/>
        <v>15808241</v>
      </c>
      <c r="U97" s="240" t="s">
        <v>139</v>
      </c>
      <c r="V97" s="157">
        <v>0</v>
      </c>
      <c r="W97" s="157">
        <v>0</v>
      </c>
      <c r="X97" s="157">
        <v>3281870</v>
      </c>
      <c r="Y97" s="159">
        <f t="shared" ref="Y97:Y109" si="41">SUM(V97:X97)</f>
        <v>3281870</v>
      </c>
    </row>
    <row r="98" spans="1:25" s="156" customFormat="1" ht="8.25" x14ac:dyDescent="0.15">
      <c r="A98" s="204">
        <v>211010100110</v>
      </c>
      <c r="B98" s="205" t="s">
        <v>318</v>
      </c>
      <c r="C98" s="206">
        <v>40000000</v>
      </c>
      <c r="D98" s="149">
        <v>0</v>
      </c>
      <c r="E98" s="155">
        <v>0</v>
      </c>
      <c r="F98" s="207">
        <v>0</v>
      </c>
      <c r="G98" s="149">
        <v>0</v>
      </c>
      <c r="H98" s="149">
        <f t="shared" si="38"/>
        <v>40000000</v>
      </c>
      <c r="I98" s="149">
        <v>0</v>
      </c>
      <c r="J98" s="239">
        <v>0</v>
      </c>
      <c r="K98" s="223">
        <f t="shared" si="39"/>
        <v>0</v>
      </c>
      <c r="L98" s="235">
        <v>0</v>
      </c>
      <c r="M98" s="149">
        <v>0</v>
      </c>
      <c r="N98" s="149">
        <v>0</v>
      </c>
      <c r="O98" s="149">
        <f t="shared" si="40"/>
        <v>0</v>
      </c>
      <c r="P98" s="191">
        <f t="shared" si="33"/>
        <v>40000000</v>
      </c>
      <c r="Q98" s="201">
        <f t="shared" si="27"/>
        <v>0</v>
      </c>
      <c r="U98" s="240" t="s">
        <v>141</v>
      </c>
      <c r="V98" s="157">
        <v>0</v>
      </c>
      <c r="W98" s="157">
        <v>2674916</v>
      </c>
      <c r="X98" s="157">
        <v>3700000</v>
      </c>
      <c r="Y98" s="159">
        <f t="shared" si="41"/>
        <v>6374916</v>
      </c>
    </row>
    <row r="99" spans="1:25" s="156" customFormat="1" ht="8.25" x14ac:dyDescent="0.15">
      <c r="A99" s="204">
        <v>212020200705</v>
      </c>
      <c r="B99" s="205" t="s">
        <v>149</v>
      </c>
      <c r="C99" s="206">
        <v>30000000</v>
      </c>
      <c r="D99" s="149">
        <v>0</v>
      </c>
      <c r="E99" s="155">
        <v>0</v>
      </c>
      <c r="F99" s="207">
        <v>0</v>
      </c>
      <c r="G99" s="149">
        <v>0</v>
      </c>
      <c r="H99" s="149">
        <f t="shared" si="38"/>
        <v>30000000</v>
      </c>
      <c r="I99" s="149">
        <v>0</v>
      </c>
      <c r="J99" s="239">
        <v>30000000</v>
      </c>
      <c r="K99" s="223">
        <f t="shared" si="39"/>
        <v>30000000</v>
      </c>
      <c r="L99" s="235">
        <v>15000000</v>
      </c>
      <c r="M99" s="149">
        <v>0</v>
      </c>
      <c r="N99" s="222">
        <v>14600000</v>
      </c>
      <c r="O99" s="149">
        <f>(M99+N99)</f>
        <v>14600000</v>
      </c>
      <c r="P99" s="191">
        <f t="shared" si="33"/>
        <v>0</v>
      </c>
      <c r="Q99" s="201">
        <f t="shared" si="27"/>
        <v>400000</v>
      </c>
      <c r="U99" s="240" t="s">
        <v>145</v>
      </c>
      <c r="V99" s="157">
        <v>15322000</v>
      </c>
      <c r="W99" s="157">
        <v>15319000</v>
      </c>
      <c r="X99" s="157">
        <v>21015900</v>
      </c>
      <c r="Y99" s="159">
        <f t="shared" si="41"/>
        <v>51656900</v>
      </c>
    </row>
    <row r="100" spans="1:25" s="156" customFormat="1" ht="8.25" x14ac:dyDescent="0.15">
      <c r="A100" s="204">
        <v>212020200601</v>
      </c>
      <c r="B100" s="205" t="s">
        <v>323</v>
      </c>
      <c r="C100" s="206">
        <v>35000000</v>
      </c>
      <c r="D100" s="149"/>
      <c r="E100" s="155">
        <v>26636508</v>
      </c>
      <c r="F100" s="207"/>
      <c r="G100" s="149"/>
      <c r="H100" s="149">
        <f t="shared" si="38"/>
        <v>61636508</v>
      </c>
      <c r="I100" s="149"/>
      <c r="J100" s="239">
        <v>59494662</v>
      </c>
      <c r="K100" s="223">
        <f t="shared" si="39"/>
        <v>59494662</v>
      </c>
      <c r="L100" s="235">
        <v>37393662</v>
      </c>
      <c r="M100" s="149"/>
      <c r="N100" s="222">
        <v>3399000</v>
      </c>
      <c r="O100" s="149">
        <f>(M100+N100)</f>
        <v>3399000</v>
      </c>
      <c r="P100" s="191">
        <f t="shared" si="33"/>
        <v>2141846</v>
      </c>
      <c r="Q100" s="201">
        <f t="shared" si="27"/>
        <v>33994662</v>
      </c>
      <c r="U100" s="240"/>
      <c r="V100" s="157"/>
      <c r="W100" s="157"/>
      <c r="X100" s="157"/>
      <c r="Y100" s="159"/>
    </row>
    <row r="101" spans="1:25" s="156" customFormat="1" ht="8.25" x14ac:dyDescent="0.15">
      <c r="A101" s="204">
        <v>212020200807</v>
      </c>
      <c r="B101" s="205" t="s">
        <v>319</v>
      </c>
      <c r="C101" s="206">
        <v>230000000</v>
      </c>
      <c r="D101" s="149">
        <v>26636508</v>
      </c>
      <c r="E101" s="155">
        <v>0</v>
      </c>
      <c r="F101" s="207"/>
      <c r="G101" s="209">
        <v>0</v>
      </c>
      <c r="H101" s="149">
        <f t="shared" si="38"/>
        <v>203363492</v>
      </c>
      <c r="I101" s="149">
        <v>0</v>
      </c>
      <c r="J101" s="239">
        <v>54085608</v>
      </c>
      <c r="K101" s="191">
        <v>54085608</v>
      </c>
      <c r="L101" s="235">
        <v>38025234</v>
      </c>
      <c r="M101" s="149">
        <v>0</v>
      </c>
      <c r="N101" s="149">
        <v>23885667</v>
      </c>
      <c r="O101" s="149">
        <f>(M101+N101)</f>
        <v>23885667</v>
      </c>
      <c r="P101" s="191">
        <f t="shared" si="33"/>
        <v>149277884</v>
      </c>
      <c r="Q101" s="201">
        <f t="shared" si="27"/>
        <v>14139567</v>
      </c>
      <c r="U101" s="240" t="s">
        <v>147</v>
      </c>
      <c r="V101" s="157">
        <v>0</v>
      </c>
      <c r="W101" s="157">
        <v>3022384</v>
      </c>
      <c r="X101" s="157">
        <v>700000</v>
      </c>
      <c r="Y101" s="159">
        <f t="shared" si="41"/>
        <v>3722384</v>
      </c>
    </row>
    <row r="102" spans="1:25" s="156" customFormat="1" ht="8.25" x14ac:dyDescent="0.15">
      <c r="A102" s="204">
        <v>212020200808</v>
      </c>
      <c r="B102" s="205" t="s">
        <v>320</v>
      </c>
      <c r="C102" s="206">
        <v>80000000</v>
      </c>
      <c r="D102" s="149"/>
      <c r="E102" s="155"/>
      <c r="F102" s="207"/>
      <c r="G102" s="209"/>
      <c r="H102" s="149">
        <f t="shared" si="38"/>
        <v>80000000</v>
      </c>
      <c r="I102" s="149"/>
      <c r="J102" s="239"/>
      <c r="K102" s="191"/>
      <c r="L102" s="235"/>
      <c r="M102" s="149"/>
      <c r="N102" s="149"/>
      <c r="O102" s="149"/>
      <c r="P102" s="191"/>
      <c r="Q102" s="201"/>
      <c r="U102" s="240"/>
      <c r="V102" s="157"/>
      <c r="W102" s="157"/>
      <c r="X102" s="157"/>
      <c r="Y102" s="159"/>
    </row>
    <row r="103" spans="1:25" s="156" customFormat="1" ht="8.25" x14ac:dyDescent="0.15">
      <c r="A103" s="204">
        <v>212020200603</v>
      </c>
      <c r="B103" s="205" t="s">
        <v>321</v>
      </c>
      <c r="C103" s="206">
        <v>74014226</v>
      </c>
      <c r="D103" s="207">
        <v>0</v>
      </c>
      <c r="E103" s="210">
        <v>0</v>
      </c>
      <c r="F103" s="207">
        <v>0</v>
      </c>
      <c r="G103" s="209">
        <v>0</v>
      </c>
      <c r="H103" s="149">
        <f t="shared" si="38"/>
        <v>74014226</v>
      </c>
      <c r="I103" s="149">
        <v>0</v>
      </c>
      <c r="J103" s="239">
        <v>3649150</v>
      </c>
      <c r="K103" s="223">
        <f t="shared" si="39"/>
        <v>3649150</v>
      </c>
      <c r="L103" s="235">
        <v>3649150</v>
      </c>
      <c r="M103" s="149">
        <v>0</v>
      </c>
      <c r="N103" s="149">
        <v>2595050</v>
      </c>
      <c r="O103" s="149">
        <f t="shared" si="40"/>
        <v>2595050</v>
      </c>
      <c r="P103" s="191">
        <f t="shared" si="33"/>
        <v>70365076</v>
      </c>
      <c r="Q103" s="201">
        <f t="shared" si="27"/>
        <v>1054100</v>
      </c>
      <c r="U103" s="240" t="s">
        <v>151</v>
      </c>
      <c r="V103" s="157">
        <v>0</v>
      </c>
      <c r="W103" s="157">
        <v>887400</v>
      </c>
      <c r="X103" s="157">
        <v>2050600</v>
      </c>
      <c r="Y103" s="159">
        <f t="shared" si="41"/>
        <v>2938000</v>
      </c>
    </row>
    <row r="104" spans="1:25" s="156" customFormat="1" ht="8.25" x14ac:dyDescent="0.15">
      <c r="A104" s="204">
        <v>212020100311</v>
      </c>
      <c r="B104" s="241" t="s">
        <v>153</v>
      </c>
      <c r="C104" s="206">
        <v>15000000</v>
      </c>
      <c r="D104" s="152">
        <v>0</v>
      </c>
      <c r="E104" s="155">
        <v>0</v>
      </c>
      <c r="F104" s="207">
        <v>0</v>
      </c>
      <c r="G104" s="149">
        <v>0</v>
      </c>
      <c r="H104" s="149">
        <f t="shared" si="38"/>
        <v>15000000</v>
      </c>
      <c r="I104" s="149">
        <v>0</v>
      </c>
      <c r="J104" s="155">
        <v>0</v>
      </c>
      <c r="K104" s="223">
        <f t="shared" si="39"/>
        <v>0</v>
      </c>
      <c r="L104" s="191">
        <v>0</v>
      </c>
      <c r="M104" s="149">
        <v>0</v>
      </c>
      <c r="N104" s="149">
        <v>0</v>
      </c>
      <c r="O104" s="149">
        <f t="shared" si="40"/>
        <v>0</v>
      </c>
      <c r="P104" s="191">
        <f t="shared" si="33"/>
        <v>15000000</v>
      </c>
      <c r="Q104" s="201">
        <f t="shared" si="27"/>
        <v>0</v>
      </c>
      <c r="U104" s="242" t="s">
        <v>153</v>
      </c>
      <c r="V104" s="157"/>
      <c r="W104" s="157"/>
      <c r="X104" s="157">
        <v>0</v>
      </c>
      <c r="Y104" s="159">
        <f t="shared" si="41"/>
        <v>0</v>
      </c>
    </row>
    <row r="105" spans="1:25" s="156" customFormat="1" ht="8.25" x14ac:dyDescent="0.15">
      <c r="A105" s="204">
        <v>212020200809</v>
      </c>
      <c r="B105" s="205" t="s">
        <v>155</v>
      </c>
      <c r="C105" s="206">
        <v>150000000</v>
      </c>
      <c r="D105" s="149">
        <v>0</v>
      </c>
      <c r="E105" s="154">
        <v>0</v>
      </c>
      <c r="F105" s="207">
        <v>0</v>
      </c>
      <c r="G105" s="149">
        <v>0</v>
      </c>
      <c r="H105" s="149">
        <f t="shared" si="38"/>
        <v>150000000</v>
      </c>
      <c r="I105" s="149">
        <v>0</v>
      </c>
      <c r="J105" s="155">
        <v>146000000</v>
      </c>
      <c r="K105" s="223">
        <f t="shared" si="39"/>
        <v>146000000</v>
      </c>
      <c r="L105" s="191">
        <v>100234045</v>
      </c>
      <c r="M105" s="149">
        <v>0</v>
      </c>
      <c r="N105" s="149">
        <v>81604729</v>
      </c>
      <c r="O105" s="149">
        <f t="shared" si="40"/>
        <v>81604729</v>
      </c>
      <c r="P105" s="191">
        <f t="shared" si="33"/>
        <v>4000000</v>
      </c>
      <c r="Q105" s="201">
        <f t="shared" si="27"/>
        <v>18629316</v>
      </c>
      <c r="U105" s="243" t="s">
        <v>155</v>
      </c>
      <c r="V105" s="157">
        <v>0</v>
      </c>
      <c r="W105" s="157">
        <v>3645750</v>
      </c>
      <c r="X105" s="157">
        <v>7367990</v>
      </c>
      <c r="Y105" s="159">
        <f t="shared" si="41"/>
        <v>11013740</v>
      </c>
    </row>
    <row r="106" spans="1:25" s="156" customFormat="1" ht="8.25" x14ac:dyDescent="0.15">
      <c r="A106" s="204">
        <v>2120203</v>
      </c>
      <c r="B106" s="205" t="s">
        <v>157</v>
      </c>
      <c r="C106" s="206">
        <v>47385774</v>
      </c>
      <c r="D106" s="152">
        <v>0</v>
      </c>
      <c r="E106" s="155">
        <v>0</v>
      </c>
      <c r="F106" s="207">
        <v>0</v>
      </c>
      <c r="G106" s="209">
        <v>0</v>
      </c>
      <c r="H106" s="149">
        <f>(C106+G106)+E106-D106</f>
        <v>47385774</v>
      </c>
      <c r="I106" s="149">
        <v>0</v>
      </c>
      <c r="J106" s="155">
        <v>0</v>
      </c>
      <c r="K106" s="191">
        <f t="shared" si="39"/>
        <v>0</v>
      </c>
      <c r="L106" s="191">
        <v>0</v>
      </c>
      <c r="M106" s="209">
        <v>0</v>
      </c>
      <c r="N106" s="149">
        <v>0</v>
      </c>
      <c r="O106" s="209">
        <f t="shared" si="40"/>
        <v>0</v>
      </c>
      <c r="P106" s="191">
        <f t="shared" si="33"/>
        <v>47385774</v>
      </c>
      <c r="Q106" s="201">
        <f t="shared" si="27"/>
        <v>0</v>
      </c>
      <c r="U106" s="243" t="s">
        <v>157</v>
      </c>
      <c r="V106" s="157">
        <v>0</v>
      </c>
      <c r="W106" s="157">
        <v>1242480</v>
      </c>
      <c r="X106" s="157">
        <v>257800</v>
      </c>
      <c r="Y106" s="159">
        <f t="shared" si="41"/>
        <v>1500280</v>
      </c>
    </row>
    <row r="107" spans="1:25" s="156" customFormat="1" ht="8.25" x14ac:dyDescent="0.15">
      <c r="A107" s="204">
        <v>212020200905</v>
      </c>
      <c r="B107" s="205" t="s">
        <v>303</v>
      </c>
      <c r="C107" s="244">
        <v>15000000</v>
      </c>
      <c r="D107" s="152">
        <v>0</v>
      </c>
      <c r="E107" s="210"/>
      <c r="F107" s="207"/>
      <c r="G107" s="209"/>
      <c r="H107" s="149">
        <f>(C107+G107)+E107-D107</f>
        <v>15000000</v>
      </c>
      <c r="I107" s="149">
        <v>0</v>
      </c>
      <c r="J107" s="229">
        <v>0</v>
      </c>
      <c r="K107" s="191">
        <f t="shared" si="39"/>
        <v>0</v>
      </c>
      <c r="L107" s="219">
        <v>0</v>
      </c>
      <c r="M107" s="209">
        <v>0</v>
      </c>
      <c r="N107" s="149">
        <v>0</v>
      </c>
      <c r="O107" s="209">
        <f t="shared" si="40"/>
        <v>0</v>
      </c>
      <c r="P107" s="191"/>
      <c r="Q107" s="201">
        <f t="shared" si="27"/>
        <v>0</v>
      </c>
      <c r="U107" s="243"/>
      <c r="V107" s="157"/>
      <c r="W107" s="157"/>
      <c r="X107" s="157"/>
      <c r="Y107" s="159"/>
    </row>
    <row r="108" spans="1:25" s="156" customFormat="1" ht="8.25" x14ac:dyDescent="0.15">
      <c r="A108" s="204">
        <v>212020200610</v>
      </c>
      <c r="B108" s="205" t="s">
        <v>220</v>
      </c>
      <c r="C108" s="244">
        <v>0</v>
      </c>
      <c r="D108" s="207">
        <v>0</v>
      </c>
      <c r="E108" s="210">
        <v>0</v>
      </c>
      <c r="F108" s="207">
        <v>0</v>
      </c>
      <c r="G108" s="149">
        <v>0</v>
      </c>
      <c r="H108" s="222">
        <f t="shared" ref="H108:H149" si="42">(C108+G108)+E108-D108</f>
        <v>0</v>
      </c>
      <c r="I108" s="149">
        <v>0</v>
      </c>
      <c r="J108" s="155">
        <v>0</v>
      </c>
      <c r="K108" s="191">
        <f t="shared" si="39"/>
        <v>0</v>
      </c>
      <c r="L108" s="191">
        <v>0</v>
      </c>
      <c r="M108" s="209">
        <v>0</v>
      </c>
      <c r="N108" s="149">
        <v>0</v>
      </c>
      <c r="O108" s="149">
        <f t="shared" si="40"/>
        <v>0</v>
      </c>
      <c r="P108" s="191">
        <f t="shared" si="33"/>
        <v>0</v>
      </c>
      <c r="Q108" s="201">
        <f t="shared" si="27"/>
        <v>0</v>
      </c>
      <c r="U108" s="243" t="s">
        <v>175</v>
      </c>
      <c r="V108" s="157">
        <v>0</v>
      </c>
      <c r="W108" s="230">
        <v>0</v>
      </c>
      <c r="X108" s="157">
        <v>0</v>
      </c>
      <c r="Y108" s="159">
        <f t="shared" si="41"/>
        <v>0</v>
      </c>
    </row>
    <row r="109" spans="1:25" s="193" customFormat="1" ht="8.25" x14ac:dyDescent="0.15">
      <c r="A109" s="194">
        <v>201</v>
      </c>
      <c r="B109" s="195" t="s">
        <v>159</v>
      </c>
      <c r="C109" s="206">
        <f>+C110</f>
        <v>20000000</v>
      </c>
      <c r="D109" s="199">
        <v>0</v>
      </c>
      <c r="E109" s="202">
        <v>0</v>
      </c>
      <c r="F109" s="199">
        <v>0</v>
      </c>
      <c r="G109" s="198">
        <f>(G110)</f>
        <v>0</v>
      </c>
      <c r="H109" s="198">
        <f>(H110)</f>
        <v>20000000</v>
      </c>
      <c r="I109" s="198">
        <f>(I110)</f>
        <v>0</v>
      </c>
      <c r="J109" s="198">
        <f>(J110)</f>
        <v>6447769</v>
      </c>
      <c r="K109" s="245">
        <f>(I109+J109)</f>
        <v>6447769</v>
      </c>
      <c r="L109" s="200">
        <f>(L110)</f>
        <v>6447769</v>
      </c>
      <c r="M109" s="212">
        <f>(M110)</f>
        <v>0</v>
      </c>
      <c r="N109" s="215">
        <f>(N110)</f>
        <v>6447769</v>
      </c>
      <c r="O109" s="225">
        <f>(O110)</f>
        <v>6447769</v>
      </c>
      <c r="P109" s="200">
        <f t="shared" si="33"/>
        <v>13552231</v>
      </c>
      <c r="Q109" s="201">
        <f t="shared" si="27"/>
        <v>0</v>
      </c>
      <c r="U109" s="243" t="s">
        <v>226</v>
      </c>
      <c r="V109" s="230">
        <v>0</v>
      </c>
      <c r="W109" s="230">
        <v>0</v>
      </c>
      <c r="X109" s="230">
        <v>0</v>
      </c>
      <c r="Y109" s="159">
        <f t="shared" si="41"/>
        <v>0</v>
      </c>
    </row>
    <row r="110" spans="1:25" s="156" customFormat="1" ht="8.25" x14ac:dyDescent="0.15">
      <c r="A110" s="213">
        <v>2180114001</v>
      </c>
      <c r="B110" s="205" t="s">
        <v>322</v>
      </c>
      <c r="C110" s="206">
        <v>20000000</v>
      </c>
      <c r="D110" s="207">
        <v>0</v>
      </c>
      <c r="E110" s="210">
        <v>0</v>
      </c>
      <c r="F110" s="207">
        <v>0</v>
      </c>
      <c r="G110" s="207">
        <v>0</v>
      </c>
      <c r="H110" s="149">
        <f t="shared" si="42"/>
        <v>20000000</v>
      </c>
      <c r="I110" s="149">
        <v>0</v>
      </c>
      <c r="J110" s="155">
        <v>6447769</v>
      </c>
      <c r="K110" s="191">
        <f>(I110+J110)</f>
        <v>6447769</v>
      </c>
      <c r="L110" s="191">
        <v>6447769</v>
      </c>
      <c r="M110" s="149">
        <v>0</v>
      </c>
      <c r="N110" s="149">
        <v>6447769</v>
      </c>
      <c r="O110" s="149">
        <f>(M110+N110)</f>
        <v>6447769</v>
      </c>
      <c r="P110" s="191">
        <f t="shared" si="33"/>
        <v>13552231</v>
      </c>
      <c r="Q110" s="201">
        <f t="shared" si="27"/>
        <v>0</v>
      </c>
      <c r="V110" s="159">
        <f>SUM(V97:V109)</f>
        <v>15322000</v>
      </c>
      <c r="W110" s="159">
        <f>SUM(W97:W109)</f>
        <v>26791930</v>
      </c>
      <c r="X110" s="159">
        <f>SUM(X97:X109)</f>
        <v>38374160</v>
      </c>
      <c r="Y110" s="159">
        <f>SUM(V110:X110)</f>
        <v>80488090</v>
      </c>
    </row>
    <row r="111" spans="1:25" s="193" customFormat="1" ht="8.25" x14ac:dyDescent="0.15">
      <c r="A111" s="194">
        <v>212</v>
      </c>
      <c r="B111" s="195" t="s">
        <v>91</v>
      </c>
      <c r="C111" s="196">
        <f>+C112+C118</f>
        <v>1791300000</v>
      </c>
      <c r="D111" s="199">
        <v>0</v>
      </c>
      <c r="E111" s="202">
        <v>0</v>
      </c>
      <c r="F111" s="199">
        <v>0</v>
      </c>
      <c r="G111" s="197">
        <f t="shared" ref="G111:O111" si="43">+G112+G118</f>
        <v>0</v>
      </c>
      <c r="H111" s="197">
        <f t="shared" si="43"/>
        <v>1791300000</v>
      </c>
      <c r="I111" s="197">
        <f t="shared" si="43"/>
        <v>0</v>
      </c>
      <c r="J111" s="197">
        <f t="shared" si="43"/>
        <v>1304822788</v>
      </c>
      <c r="K111" s="200">
        <f t="shared" si="43"/>
        <v>1304822788</v>
      </c>
      <c r="L111" s="197">
        <f t="shared" si="43"/>
        <v>955745931</v>
      </c>
      <c r="M111" s="197">
        <f t="shared" si="43"/>
        <v>0</v>
      </c>
      <c r="N111" s="197">
        <f t="shared" si="43"/>
        <v>694361540</v>
      </c>
      <c r="O111" s="197">
        <f t="shared" si="43"/>
        <v>694361540</v>
      </c>
      <c r="P111" s="200">
        <f t="shared" si="33"/>
        <v>486477212</v>
      </c>
      <c r="Q111" s="201">
        <f t="shared" si="27"/>
        <v>261384391</v>
      </c>
    </row>
    <row r="112" spans="1:25" s="193" customFormat="1" ht="8.25" x14ac:dyDescent="0.15">
      <c r="A112" s="194">
        <v>21202</v>
      </c>
      <c r="B112" s="195" t="s">
        <v>131</v>
      </c>
      <c r="C112" s="196">
        <f>(C113+C114)</f>
        <v>470000000</v>
      </c>
      <c r="D112" s="199">
        <v>0</v>
      </c>
      <c r="E112" s="202">
        <v>0</v>
      </c>
      <c r="F112" s="199">
        <v>0</v>
      </c>
      <c r="G112" s="197">
        <f t="shared" ref="G112:O112" si="44">(G113+G114)</f>
        <v>0</v>
      </c>
      <c r="H112" s="197">
        <f t="shared" si="44"/>
        <v>470000000</v>
      </c>
      <c r="I112" s="197">
        <f t="shared" si="44"/>
        <v>0</v>
      </c>
      <c r="J112" s="197">
        <f t="shared" si="44"/>
        <v>142090980</v>
      </c>
      <c r="K112" s="200">
        <f t="shared" si="44"/>
        <v>142090980</v>
      </c>
      <c r="L112" s="197">
        <f t="shared" si="44"/>
        <v>139093343</v>
      </c>
      <c r="M112" s="197">
        <f t="shared" si="44"/>
        <v>0</v>
      </c>
      <c r="N112" s="197">
        <f t="shared" si="44"/>
        <v>139093343</v>
      </c>
      <c r="O112" s="197">
        <f t="shared" si="44"/>
        <v>139093343</v>
      </c>
      <c r="P112" s="200">
        <f t="shared" si="33"/>
        <v>327909020</v>
      </c>
      <c r="Q112" s="201">
        <f t="shared" si="27"/>
        <v>0</v>
      </c>
      <c r="T112" s="193">
        <v>2020101</v>
      </c>
      <c r="U112" s="193" t="s">
        <v>265</v>
      </c>
      <c r="V112" s="230">
        <v>0</v>
      </c>
      <c r="W112" s="230">
        <v>0</v>
      </c>
      <c r="X112" s="230">
        <v>0</v>
      </c>
      <c r="Y112" s="228">
        <f t="shared" ref="Y112:Y126" si="45">SUM(V112:X112)</f>
        <v>0</v>
      </c>
    </row>
    <row r="113" spans="1:25" s="156" customFormat="1" ht="8.25" x14ac:dyDescent="0.15">
      <c r="A113" s="204">
        <v>212020200804</v>
      </c>
      <c r="B113" s="205" t="s">
        <v>165</v>
      </c>
      <c r="C113" s="206">
        <v>470000000</v>
      </c>
      <c r="D113" s="149">
        <v>0</v>
      </c>
      <c r="E113" s="155">
        <v>0</v>
      </c>
      <c r="F113" s="207">
        <v>0</v>
      </c>
      <c r="G113" s="149">
        <v>0</v>
      </c>
      <c r="H113" s="149">
        <f t="shared" si="42"/>
        <v>470000000</v>
      </c>
      <c r="I113" s="149">
        <v>0</v>
      </c>
      <c r="J113" s="239">
        <v>142090980</v>
      </c>
      <c r="K113" s="223">
        <f>(I113+J113)</f>
        <v>142090980</v>
      </c>
      <c r="L113" s="235">
        <v>139093343</v>
      </c>
      <c r="M113" s="149">
        <v>0</v>
      </c>
      <c r="N113" s="149">
        <v>139093343</v>
      </c>
      <c r="O113" s="149">
        <f>(M113+N113)</f>
        <v>139093343</v>
      </c>
      <c r="P113" s="191">
        <f t="shared" si="33"/>
        <v>327909020</v>
      </c>
      <c r="Q113" s="201">
        <f t="shared" si="27"/>
        <v>0</v>
      </c>
      <c r="T113" s="156">
        <v>2020201</v>
      </c>
      <c r="U113" s="156" t="s">
        <v>281</v>
      </c>
      <c r="V113" s="157">
        <v>0</v>
      </c>
      <c r="W113" s="157">
        <v>11628500</v>
      </c>
      <c r="X113" s="157">
        <v>30867817</v>
      </c>
      <c r="Y113" s="228">
        <f t="shared" si="45"/>
        <v>42496317</v>
      </c>
    </row>
    <row r="114" spans="1:25" s="193" customFormat="1" ht="8.25" hidden="1" x14ac:dyDescent="0.15">
      <c r="A114" s="194"/>
      <c r="B114" s="195"/>
      <c r="C114" s="203">
        <f>SUM(C115:C117)</f>
        <v>0</v>
      </c>
      <c r="D114" s="199">
        <v>0</v>
      </c>
      <c r="E114" s="202">
        <v>0</v>
      </c>
      <c r="F114" s="199">
        <v>0</v>
      </c>
      <c r="G114" s="197">
        <f>(G115+G116+G117)</f>
        <v>0</v>
      </c>
      <c r="H114" s="197">
        <f>(H115+H116+H117)</f>
        <v>0</v>
      </c>
      <c r="I114" s="197"/>
      <c r="J114" s="197"/>
      <c r="K114" s="200"/>
      <c r="L114" s="197"/>
      <c r="M114" s="197"/>
      <c r="N114" s="215"/>
      <c r="O114" s="225"/>
      <c r="P114" s="200"/>
      <c r="Q114" s="201"/>
      <c r="V114" s="228">
        <f>SUM(V112:V113)</f>
        <v>0</v>
      </c>
      <c r="W114" s="228">
        <f>SUM(W112:W113)</f>
        <v>11628500</v>
      </c>
      <c r="X114" s="228">
        <f>SUM(X112:X113)</f>
        <v>30867817</v>
      </c>
      <c r="Y114" s="228">
        <f t="shared" si="45"/>
        <v>42496317</v>
      </c>
    </row>
    <row r="115" spans="1:25" s="156" customFormat="1" ht="8.25" hidden="1" x14ac:dyDescent="0.15">
      <c r="A115" s="213"/>
      <c r="B115" s="205"/>
      <c r="C115" s="206"/>
      <c r="D115" s="152"/>
      <c r="E115" s="155">
        <v>0</v>
      </c>
      <c r="F115" s="207">
        <v>0</v>
      </c>
      <c r="G115" s="149">
        <v>0</v>
      </c>
      <c r="H115" s="149">
        <f t="shared" si="42"/>
        <v>0</v>
      </c>
      <c r="I115" s="149"/>
      <c r="J115" s="239"/>
      <c r="K115" s="223"/>
      <c r="L115" s="235"/>
      <c r="M115" s="149"/>
      <c r="N115" s="149"/>
      <c r="O115" s="149"/>
      <c r="P115" s="191"/>
      <c r="Q115" s="201"/>
      <c r="U115" s="193" t="s">
        <v>287</v>
      </c>
      <c r="V115" s="157">
        <v>67493585</v>
      </c>
      <c r="W115" s="157">
        <v>40169095</v>
      </c>
      <c r="X115" s="157">
        <v>40169095</v>
      </c>
      <c r="Y115" s="228">
        <f t="shared" si="45"/>
        <v>147831775</v>
      </c>
    </row>
    <row r="116" spans="1:25" s="156" customFormat="1" ht="8.25" hidden="1" x14ac:dyDescent="0.15">
      <c r="A116" s="213"/>
      <c r="B116" s="205"/>
      <c r="C116" s="206"/>
      <c r="D116" s="149">
        <v>0</v>
      </c>
      <c r="E116" s="155">
        <v>0</v>
      </c>
      <c r="F116" s="207">
        <v>0</v>
      </c>
      <c r="G116" s="149">
        <v>0</v>
      </c>
      <c r="H116" s="149">
        <f t="shared" si="42"/>
        <v>0</v>
      </c>
      <c r="I116" s="149"/>
      <c r="J116" s="155"/>
      <c r="K116" s="223"/>
      <c r="L116" s="191"/>
      <c r="M116" s="149"/>
      <c r="N116" s="149"/>
      <c r="O116" s="209"/>
      <c r="P116" s="191"/>
      <c r="Q116" s="201"/>
      <c r="U116" s="156" t="s">
        <v>282</v>
      </c>
      <c r="V116" s="157">
        <v>0</v>
      </c>
      <c r="W116" s="230">
        <v>0</v>
      </c>
      <c r="X116" s="157">
        <v>30120606</v>
      </c>
      <c r="Y116" s="228">
        <f t="shared" si="45"/>
        <v>30120606</v>
      </c>
    </row>
    <row r="117" spans="1:25" s="156" customFormat="1" ht="8.25" hidden="1" x14ac:dyDescent="0.15">
      <c r="A117" s="213"/>
      <c r="B117" s="205"/>
      <c r="C117" s="244">
        <v>0</v>
      </c>
      <c r="D117" s="207">
        <v>0</v>
      </c>
      <c r="E117" s="210"/>
      <c r="F117" s="207">
        <v>0</v>
      </c>
      <c r="G117" s="149">
        <v>0</v>
      </c>
      <c r="H117" s="149">
        <f t="shared" si="42"/>
        <v>0</v>
      </c>
      <c r="I117" s="149"/>
      <c r="J117" s="155"/>
      <c r="K117" s="191"/>
      <c r="L117" s="191"/>
      <c r="M117" s="209"/>
      <c r="N117" s="149"/>
      <c r="O117" s="149"/>
      <c r="P117" s="191"/>
      <c r="Q117" s="201"/>
      <c r="U117" s="156" t="s">
        <v>286</v>
      </c>
      <c r="V117" s="157">
        <v>0</v>
      </c>
      <c r="W117" s="157">
        <v>0</v>
      </c>
      <c r="X117" s="157">
        <v>0</v>
      </c>
      <c r="Y117" s="228">
        <f t="shared" si="45"/>
        <v>0</v>
      </c>
    </row>
    <row r="118" spans="1:25" s="193" customFormat="1" ht="8.25" x14ac:dyDescent="0.15">
      <c r="A118" s="194">
        <v>212</v>
      </c>
      <c r="B118" s="195" t="s">
        <v>137</v>
      </c>
      <c r="C118" s="203">
        <f>SUM(C119+C120)</f>
        <v>1321300000</v>
      </c>
      <c r="D118" s="199">
        <v>0</v>
      </c>
      <c r="E118" s="202">
        <v>0</v>
      </c>
      <c r="F118" s="199">
        <v>0</v>
      </c>
      <c r="G118" s="197">
        <f t="shared" ref="G118:O118" si="46">(G119+G120)</f>
        <v>0</v>
      </c>
      <c r="H118" s="197">
        <f t="shared" si="46"/>
        <v>1321300000</v>
      </c>
      <c r="I118" s="197">
        <f t="shared" si="46"/>
        <v>0</v>
      </c>
      <c r="J118" s="198">
        <f t="shared" si="46"/>
        <v>1162731808</v>
      </c>
      <c r="K118" s="200">
        <f t="shared" si="46"/>
        <v>1162731808</v>
      </c>
      <c r="L118" s="200">
        <f t="shared" si="46"/>
        <v>816652588</v>
      </c>
      <c r="M118" s="197">
        <f t="shared" si="46"/>
        <v>0</v>
      </c>
      <c r="N118" s="197">
        <f t="shared" si="46"/>
        <v>555268197</v>
      </c>
      <c r="O118" s="197">
        <f t="shared" si="46"/>
        <v>555268197</v>
      </c>
      <c r="P118" s="200">
        <f t="shared" si="33"/>
        <v>158568192</v>
      </c>
      <c r="Q118" s="201">
        <f t="shared" si="27"/>
        <v>261384391</v>
      </c>
      <c r="U118" s="156" t="s">
        <v>283</v>
      </c>
      <c r="V118" s="157">
        <v>0</v>
      </c>
      <c r="W118" s="157"/>
      <c r="X118" s="157">
        <v>0</v>
      </c>
      <c r="Y118" s="228">
        <f t="shared" si="45"/>
        <v>0</v>
      </c>
    </row>
    <row r="119" spans="1:25" s="156" customFormat="1" ht="8.25" x14ac:dyDescent="0.15">
      <c r="A119" s="204">
        <v>212020200805</v>
      </c>
      <c r="B119" s="205" t="s">
        <v>165</v>
      </c>
      <c r="C119" s="206">
        <v>747300000</v>
      </c>
      <c r="D119" s="207">
        <v>0</v>
      </c>
      <c r="E119" s="154">
        <v>0</v>
      </c>
      <c r="F119" s="207">
        <v>0</v>
      </c>
      <c r="G119" s="149">
        <v>0</v>
      </c>
      <c r="H119" s="149">
        <f t="shared" si="42"/>
        <v>747300000</v>
      </c>
      <c r="I119" s="149">
        <v>0</v>
      </c>
      <c r="J119" s="239">
        <v>742731808</v>
      </c>
      <c r="K119" s="223">
        <f>(I119+J119)</f>
        <v>742731808</v>
      </c>
      <c r="L119" s="235">
        <v>548432443</v>
      </c>
      <c r="M119" s="149">
        <v>0</v>
      </c>
      <c r="N119" s="149">
        <v>429986278</v>
      </c>
      <c r="O119" s="149">
        <f>(M119+N119)</f>
        <v>429986278</v>
      </c>
      <c r="P119" s="191">
        <f t="shared" si="33"/>
        <v>4568192</v>
      </c>
      <c r="Q119" s="201">
        <f t="shared" si="27"/>
        <v>118446165</v>
      </c>
      <c r="U119" s="193"/>
      <c r="V119" s="193"/>
      <c r="W119" s="230"/>
      <c r="X119" s="193"/>
      <c r="Y119" s="228">
        <f t="shared" si="45"/>
        <v>0</v>
      </c>
    </row>
    <row r="120" spans="1:25" s="193" customFormat="1" ht="8.25" x14ac:dyDescent="0.15">
      <c r="A120" s="194">
        <v>212</v>
      </c>
      <c r="B120" s="195" t="s">
        <v>173</v>
      </c>
      <c r="C120" s="203">
        <f>SUM(C121:C123)</f>
        <v>574000000</v>
      </c>
      <c r="D120" s="199">
        <v>0</v>
      </c>
      <c r="E120" s="202">
        <v>0</v>
      </c>
      <c r="F120" s="199">
        <v>0</v>
      </c>
      <c r="G120" s="197">
        <f t="shared" ref="G120:O120" si="47">(G121+G122+G123)</f>
        <v>0</v>
      </c>
      <c r="H120" s="197">
        <f t="shared" si="47"/>
        <v>574000000</v>
      </c>
      <c r="I120" s="197">
        <f t="shared" si="47"/>
        <v>0</v>
      </c>
      <c r="J120" s="197">
        <f t="shared" si="47"/>
        <v>420000000</v>
      </c>
      <c r="K120" s="200">
        <f t="shared" si="47"/>
        <v>420000000</v>
      </c>
      <c r="L120" s="197">
        <f t="shared" si="47"/>
        <v>268220145</v>
      </c>
      <c r="M120" s="197">
        <f t="shared" si="47"/>
        <v>0</v>
      </c>
      <c r="N120" s="197">
        <f t="shared" si="47"/>
        <v>125281919</v>
      </c>
      <c r="O120" s="197">
        <f t="shared" si="47"/>
        <v>125281919</v>
      </c>
      <c r="P120" s="200">
        <f t="shared" si="33"/>
        <v>154000000</v>
      </c>
      <c r="Q120" s="201">
        <f t="shared" si="27"/>
        <v>142938226</v>
      </c>
      <c r="U120" s="193" t="s">
        <v>284</v>
      </c>
      <c r="V120" s="193">
        <v>0</v>
      </c>
      <c r="W120" s="230">
        <v>0</v>
      </c>
      <c r="X120" s="230">
        <v>0</v>
      </c>
      <c r="Y120" s="228">
        <f t="shared" si="45"/>
        <v>0</v>
      </c>
    </row>
    <row r="121" spans="1:25" s="156" customFormat="1" ht="8.25" x14ac:dyDescent="0.15">
      <c r="A121" s="204">
        <v>212020100306</v>
      </c>
      <c r="B121" s="205" t="s">
        <v>324</v>
      </c>
      <c r="C121" s="206">
        <v>294000000</v>
      </c>
      <c r="D121" s="149">
        <v>0</v>
      </c>
      <c r="E121" s="155">
        <v>0</v>
      </c>
      <c r="F121" s="207">
        <v>0</v>
      </c>
      <c r="G121" s="149">
        <v>0</v>
      </c>
      <c r="H121" s="149">
        <f t="shared" si="42"/>
        <v>294000000</v>
      </c>
      <c r="I121" s="149">
        <v>0</v>
      </c>
      <c r="J121" s="155">
        <v>200000000</v>
      </c>
      <c r="K121" s="191">
        <f>(I121+J121)</f>
        <v>200000000</v>
      </c>
      <c r="L121" s="191">
        <v>95000000</v>
      </c>
      <c r="M121" s="209">
        <v>0</v>
      </c>
      <c r="N121" s="222">
        <v>54451628</v>
      </c>
      <c r="O121" s="149">
        <f>(M121+N121)</f>
        <v>54451628</v>
      </c>
      <c r="P121" s="191">
        <f t="shared" si="33"/>
        <v>94000000</v>
      </c>
      <c r="Q121" s="201">
        <f t="shared" si="27"/>
        <v>40548372</v>
      </c>
      <c r="V121" s="159">
        <f>SUM(V117:V120)</f>
        <v>0</v>
      </c>
      <c r="W121" s="159">
        <f>SUM(W117:W120)</f>
        <v>0</v>
      </c>
      <c r="X121" s="159">
        <f>SUM(X117:X120)</f>
        <v>0</v>
      </c>
      <c r="Y121" s="228">
        <f t="shared" si="45"/>
        <v>0</v>
      </c>
    </row>
    <row r="122" spans="1:25" s="156" customFormat="1" ht="8.25" x14ac:dyDescent="0.15">
      <c r="A122" s="204">
        <v>212020100310</v>
      </c>
      <c r="B122" s="205" t="s">
        <v>325</v>
      </c>
      <c r="C122" s="206">
        <v>280000000</v>
      </c>
      <c r="D122" s="207">
        <v>0</v>
      </c>
      <c r="E122" s="154">
        <v>0</v>
      </c>
      <c r="F122" s="207">
        <v>0</v>
      </c>
      <c r="G122" s="149">
        <v>0</v>
      </c>
      <c r="H122" s="149">
        <f t="shared" si="42"/>
        <v>280000000</v>
      </c>
      <c r="I122" s="149">
        <v>0</v>
      </c>
      <c r="J122" s="155">
        <v>220000000</v>
      </c>
      <c r="K122" s="191">
        <f>(I122+J122)</f>
        <v>220000000</v>
      </c>
      <c r="L122" s="191">
        <v>173220145</v>
      </c>
      <c r="M122" s="149">
        <v>0</v>
      </c>
      <c r="N122" s="149">
        <v>70830291</v>
      </c>
      <c r="O122" s="149">
        <f>(M122+N122)</f>
        <v>70830291</v>
      </c>
      <c r="P122" s="191">
        <f t="shared" si="33"/>
        <v>60000000</v>
      </c>
      <c r="Q122" s="201">
        <f t="shared" si="27"/>
        <v>102389854</v>
      </c>
      <c r="U122" s="156" t="s">
        <v>285</v>
      </c>
      <c r="V122" s="157">
        <v>0</v>
      </c>
      <c r="W122" s="157">
        <v>0</v>
      </c>
      <c r="X122" s="157">
        <v>0</v>
      </c>
      <c r="Y122" s="228">
        <f t="shared" si="45"/>
        <v>0</v>
      </c>
    </row>
    <row r="123" spans="1:25" s="156" customFormat="1" ht="8.25" x14ac:dyDescent="0.15">
      <c r="A123" s="204">
        <v>212020100311</v>
      </c>
      <c r="B123" s="205" t="s">
        <v>220</v>
      </c>
      <c r="C123" s="244">
        <v>0</v>
      </c>
      <c r="D123" s="207">
        <v>0</v>
      </c>
      <c r="E123" s="210">
        <v>0</v>
      </c>
      <c r="F123" s="207">
        <v>0</v>
      </c>
      <c r="G123" s="149">
        <v>0</v>
      </c>
      <c r="H123" s="149">
        <f t="shared" si="42"/>
        <v>0</v>
      </c>
      <c r="I123" s="149">
        <v>0</v>
      </c>
      <c r="J123" s="155">
        <v>0</v>
      </c>
      <c r="K123" s="191">
        <f>(I123+J123)</f>
        <v>0</v>
      </c>
      <c r="L123" s="191">
        <v>0</v>
      </c>
      <c r="M123" s="214">
        <v>0</v>
      </c>
      <c r="N123" s="149">
        <v>0</v>
      </c>
      <c r="O123" s="149">
        <f>(M123+N123)</f>
        <v>0</v>
      </c>
      <c r="P123" s="191">
        <f>(H123-K123)</f>
        <v>0</v>
      </c>
      <c r="Q123" s="201">
        <f t="shared" si="27"/>
        <v>0</v>
      </c>
      <c r="U123" s="193"/>
      <c r="V123" s="193"/>
      <c r="W123" s="230"/>
      <c r="X123" s="193"/>
      <c r="Y123" s="228">
        <f t="shared" si="45"/>
        <v>0</v>
      </c>
    </row>
    <row r="124" spans="1:25" s="193" customFormat="1" ht="8.25" x14ac:dyDescent="0.15">
      <c r="A124" s="194">
        <v>213</v>
      </c>
      <c r="B124" s="195" t="s">
        <v>177</v>
      </c>
      <c r="C124" s="196">
        <f>(C125+C128)</f>
        <v>400000000</v>
      </c>
      <c r="D124" s="199">
        <v>0</v>
      </c>
      <c r="E124" s="202">
        <v>0</v>
      </c>
      <c r="F124" s="199">
        <v>0</v>
      </c>
      <c r="G124" s="197">
        <f t="shared" ref="G124:O124" si="48">(G125+G128)</f>
        <v>0</v>
      </c>
      <c r="H124" s="197">
        <f t="shared" si="48"/>
        <v>400000000</v>
      </c>
      <c r="I124" s="197">
        <f t="shared" si="48"/>
        <v>0</v>
      </c>
      <c r="J124" s="197">
        <f t="shared" si="48"/>
        <v>15216367</v>
      </c>
      <c r="K124" s="200">
        <f t="shared" si="48"/>
        <v>15216367</v>
      </c>
      <c r="L124" s="197">
        <f t="shared" si="48"/>
        <v>15216367</v>
      </c>
      <c r="M124" s="215">
        <f t="shared" si="48"/>
        <v>0</v>
      </c>
      <c r="N124" s="197">
        <f t="shared" si="48"/>
        <v>8216367</v>
      </c>
      <c r="O124" s="197">
        <f t="shared" si="48"/>
        <v>8216367</v>
      </c>
      <c r="P124" s="200">
        <f t="shared" si="33"/>
        <v>384783633</v>
      </c>
      <c r="Q124" s="201">
        <f t="shared" si="27"/>
        <v>7000000</v>
      </c>
      <c r="U124" s="156" t="s">
        <v>289</v>
      </c>
      <c r="V124" s="157">
        <v>0</v>
      </c>
      <c r="W124" s="157">
        <v>0</v>
      </c>
      <c r="X124" s="157">
        <v>0</v>
      </c>
      <c r="Y124" s="228">
        <f t="shared" si="45"/>
        <v>0</v>
      </c>
    </row>
    <row r="125" spans="1:25" s="193" customFormat="1" ht="8.25" x14ac:dyDescent="0.15">
      <c r="A125" s="194">
        <v>21301</v>
      </c>
      <c r="B125" s="195" t="s">
        <v>179</v>
      </c>
      <c r="C125" s="196">
        <f>(C126+C127)</f>
        <v>395000000</v>
      </c>
      <c r="D125" s="199">
        <v>0</v>
      </c>
      <c r="E125" s="202">
        <v>0</v>
      </c>
      <c r="F125" s="199">
        <v>0</v>
      </c>
      <c r="G125" s="197">
        <f t="shared" ref="G125:O125" si="49">(G126+G127)</f>
        <v>0</v>
      </c>
      <c r="H125" s="197">
        <f t="shared" si="49"/>
        <v>395000000</v>
      </c>
      <c r="I125" s="197">
        <f t="shared" si="49"/>
        <v>0</v>
      </c>
      <c r="J125" s="197">
        <f t="shared" si="49"/>
        <v>13716367</v>
      </c>
      <c r="K125" s="198">
        <f t="shared" si="49"/>
        <v>13716367</v>
      </c>
      <c r="L125" s="197">
        <f t="shared" si="49"/>
        <v>13716367</v>
      </c>
      <c r="M125" s="215">
        <f t="shared" si="49"/>
        <v>0</v>
      </c>
      <c r="N125" s="197">
        <f t="shared" si="49"/>
        <v>6716367</v>
      </c>
      <c r="O125" s="197">
        <f t="shared" si="49"/>
        <v>6716367</v>
      </c>
      <c r="P125" s="200">
        <f t="shared" si="33"/>
        <v>381283633</v>
      </c>
      <c r="Q125" s="201">
        <f t="shared" si="27"/>
        <v>7000000</v>
      </c>
      <c r="U125" s="156"/>
      <c r="V125" s="159">
        <f>SUM(V122:V124)</f>
        <v>0</v>
      </c>
      <c r="W125" s="159">
        <f>SUM(W122:W124)</f>
        <v>0</v>
      </c>
      <c r="X125" s="159">
        <f>SUM(X122:X124)</f>
        <v>0</v>
      </c>
      <c r="Y125" s="159">
        <f t="shared" si="45"/>
        <v>0</v>
      </c>
    </row>
    <row r="126" spans="1:25" s="156" customFormat="1" ht="8.25" x14ac:dyDescent="0.15">
      <c r="A126" s="213">
        <v>213301001</v>
      </c>
      <c r="B126" s="205" t="s">
        <v>326</v>
      </c>
      <c r="C126" s="206">
        <v>350000000</v>
      </c>
      <c r="D126" s="152">
        <v>0</v>
      </c>
      <c r="E126" s="155">
        <v>0</v>
      </c>
      <c r="F126" s="207">
        <v>0</v>
      </c>
      <c r="G126" s="149">
        <v>0</v>
      </c>
      <c r="H126" s="149">
        <f t="shared" si="42"/>
        <v>350000000</v>
      </c>
      <c r="I126" s="149">
        <v>0</v>
      </c>
      <c r="J126" s="155">
        <v>0</v>
      </c>
      <c r="K126" s="191">
        <f>(I126+J126)</f>
        <v>0</v>
      </c>
      <c r="L126" s="191">
        <v>0</v>
      </c>
      <c r="M126" s="214">
        <v>0</v>
      </c>
      <c r="N126" s="149">
        <v>0</v>
      </c>
      <c r="O126" s="149">
        <f>(M126+N126)</f>
        <v>0</v>
      </c>
      <c r="P126" s="191">
        <f t="shared" si="33"/>
        <v>350000000</v>
      </c>
      <c r="Q126" s="201">
        <f t="shared" si="27"/>
        <v>0</v>
      </c>
      <c r="U126" s="193"/>
      <c r="V126" s="228">
        <f>SUM(V70:V125)</f>
        <v>392506902</v>
      </c>
      <c r="W126" s="228">
        <f>SUM(W70:W125)</f>
        <v>494175498</v>
      </c>
      <c r="X126" s="228">
        <f>SUM(X70:X125)</f>
        <v>507545056</v>
      </c>
      <c r="Y126" s="228">
        <f t="shared" si="45"/>
        <v>1394227456</v>
      </c>
    </row>
    <row r="127" spans="1:25" s="156" customFormat="1" ht="8.25" x14ac:dyDescent="0.15">
      <c r="A127" s="213">
        <v>2180401001</v>
      </c>
      <c r="B127" s="205" t="s">
        <v>327</v>
      </c>
      <c r="C127" s="244">
        <v>45000000</v>
      </c>
      <c r="D127" s="207">
        <v>0</v>
      </c>
      <c r="E127" s="210">
        <v>0</v>
      </c>
      <c r="F127" s="207">
        <v>0</v>
      </c>
      <c r="G127" s="149">
        <v>0</v>
      </c>
      <c r="H127" s="149">
        <f t="shared" si="42"/>
        <v>45000000</v>
      </c>
      <c r="I127" s="149">
        <v>0</v>
      </c>
      <c r="J127" s="155">
        <v>13716367</v>
      </c>
      <c r="K127" s="191">
        <f>(I127+J127)</f>
        <v>13716367</v>
      </c>
      <c r="L127" s="191">
        <v>13716367</v>
      </c>
      <c r="M127" s="214">
        <v>0</v>
      </c>
      <c r="N127" s="149">
        <v>6716367</v>
      </c>
      <c r="O127" s="214">
        <f>(M127+N127)</f>
        <v>6716367</v>
      </c>
      <c r="P127" s="191">
        <f t="shared" si="33"/>
        <v>31283633</v>
      </c>
      <c r="Q127" s="201">
        <f t="shared" si="27"/>
        <v>7000000</v>
      </c>
    </row>
    <row r="128" spans="1:25" s="193" customFormat="1" ht="8.25" x14ac:dyDescent="0.15">
      <c r="A128" s="194">
        <v>212</v>
      </c>
      <c r="B128" s="195" t="s">
        <v>183</v>
      </c>
      <c r="C128" s="203">
        <f>+C129+C130</f>
        <v>5000000</v>
      </c>
      <c r="D128" s="199">
        <v>0</v>
      </c>
      <c r="E128" s="202">
        <v>0</v>
      </c>
      <c r="F128" s="199">
        <v>0</v>
      </c>
      <c r="G128" s="199">
        <v>0</v>
      </c>
      <c r="H128" s="149">
        <f t="shared" si="42"/>
        <v>5000000</v>
      </c>
      <c r="I128" s="197">
        <f>SUM(I129+I130)</f>
        <v>0</v>
      </c>
      <c r="J128" s="197">
        <f>SUM(J129+J130)</f>
        <v>1500000</v>
      </c>
      <c r="K128" s="191">
        <f>(I128+J128)</f>
        <v>1500000</v>
      </c>
      <c r="L128" s="197">
        <f>SUM(L129+L130)</f>
        <v>1500000</v>
      </c>
      <c r="M128" s="215">
        <f>SUM(M129+M130)</f>
        <v>0</v>
      </c>
      <c r="N128" s="215">
        <f>SUM(N129+N130)</f>
        <v>1500000</v>
      </c>
      <c r="O128" s="214">
        <f>(M128+N128)</f>
        <v>1500000</v>
      </c>
      <c r="P128" s="200">
        <f t="shared" si="33"/>
        <v>3500000</v>
      </c>
      <c r="Q128" s="201">
        <f t="shared" si="27"/>
        <v>0</v>
      </c>
    </row>
    <row r="129" spans="1:25" s="156" customFormat="1" ht="8.25" x14ac:dyDescent="0.15">
      <c r="A129" s="204">
        <v>212020200810</v>
      </c>
      <c r="B129" s="205" t="s">
        <v>292</v>
      </c>
      <c r="C129" s="206">
        <v>5000000</v>
      </c>
      <c r="D129" s="207">
        <v>0</v>
      </c>
      <c r="E129" s="155">
        <v>0</v>
      </c>
      <c r="F129" s="207">
        <v>0</v>
      </c>
      <c r="G129" s="207">
        <v>0</v>
      </c>
      <c r="H129" s="149">
        <f t="shared" si="42"/>
        <v>5000000</v>
      </c>
      <c r="I129" s="149">
        <v>0</v>
      </c>
      <c r="J129" s="155">
        <v>1500000</v>
      </c>
      <c r="K129" s="191">
        <f>(I129+J129)</f>
        <v>1500000</v>
      </c>
      <c r="L129" s="191">
        <v>1500000</v>
      </c>
      <c r="M129" s="214">
        <v>0</v>
      </c>
      <c r="N129" s="214">
        <v>1500000</v>
      </c>
      <c r="O129" s="214">
        <f>(M129+N129)</f>
        <v>1500000</v>
      </c>
      <c r="P129" s="191">
        <f t="shared" si="33"/>
        <v>3500000</v>
      </c>
      <c r="Q129" s="201">
        <f t="shared" si="27"/>
        <v>0</v>
      </c>
    </row>
    <row r="130" spans="1:25" s="156" customFormat="1" ht="8.25" x14ac:dyDescent="0.15">
      <c r="A130" s="204">
        <v>212020200811</v>
      </c>
      <c r="B130" s="205" t="s">
        <v>291</v>
      </c>
      <c r="C130" s="206">
        <v>0</v>
      </c>
      <c r="D130" s="207"/>
      <c r="E130" s="210"/>
      <c r="F130" s="207"/>
      <c r="G130" s="207">
        <v>0</v>
      </c>
      <c r="H130" s="149">
        <f t="shared" si="42"/>
        <v>0</v>
      </c>
      <c r="I130" s="149">
        <v>0</v>
      </c>
      <c r="J130" s="229">
        <v>0</v>
      </c>
      <c r="K130" s="219">
        <f>(I130+J130)</f>
        <v>0</v>
      </c>
      <c r="L130" s="219">
        <v>0</v>
      </c>
      <c r="M130" s="214">
        <v>0</v>
      </c>
      <c r="N130" s="149">
        <v>0</v>
      </c>
      <c r="O130" s="214">
        <f>(M130+N130)</f>
        <v>0</v>
      </c>
      <c r="P130" s="191">
        <f t="shared" si="33"/>
        <v>0</v>
      </c>
      <c r="Q130" s="201">
        <f t="shared" si="27"/>
        <v>0</v>
      </c>
      <c r="T130" s="156">
        <v>4199999</v>
      </c>
      <c r="U130" s="156" t="s">
        <v>294</v>
      </c>
      <c r="V130" s="157">
        <v>208229922</v>
      </c>
      <c r="W130" s="157">
        <v>212310902</v>
      </c>
      <c r="X130" s="157">
        <v>31865873</v>
      </c>
      <c r="Y130" s="228">
        <f>SUM(V130:X130)</f>
        <v>452406697</v>
      </c>
    </row>
    <row r="131" spans="1:25" s="193" customFormat="1" ht="8.25" x14ac:dyDescent="0.15">
      <c r="A131" s="194">
        <v>245</v>
      </c>
      <c r="B131" s="195" t="s">
        <v>185</v>
      </c>
      <c r="C131" s="203">
        <f>C132</f>
        <v>4500000000</v>
      </c>
      <c r="D131" s="199">
        <v>0</v>
      </c>
      <c r="E131" s="202">
        <v>0</v>
      </c>
      <c r="F131" s="199">
        <v>0</v>
      </c>
      <c r="G131" s="197">
        <f t="shared" ref="G131:O132" si="50">(G132)</f>
        <v>0</v>
      </c>
      <c r="H131" s="197">
        <f t="shared" si="50"/>
        <v>4500000000</v>
      </c>
      <c r="I131" s="197">
        <f t="shared" si="50"/>
        <v>0</v>
      </c>
      <c r="J131" s="198">
        <f t="shared" si="50"/>
        <v>2677675714</v>
      </c>
      <c r="K131" s="200">
        <f t="shared" si="50"/>
        <v>2677675714</v>
      </c>
      <c r="L131" s="200">
        <f t="shared" si="50"/>
        <v>1693523581</v>
      </c>
      <c r="M131" s="197">
        <f t="shared" si="50"/>
        <v>0</v>
      </c>
      <c r="N131" s="197">
        <f t="shared" si="50"/>
        <v>1645233584</v>
      </c>
      <c r="O131" s="197">
        <f t="shared" si="50"/>
        <v>1645233584</v>
      </c>
      <c r="P131" s="200">
        <f t="shared" si="33"/>
        <v>1822324286</v>
      </c>
      <c r="Q131" s="201">
        <f t="shared" si="27"/>
        <v>48289997</v>
      </c>
    </row>
    <row r="132" spans="1:25" s="193" customFormat="1" ht="8.25" x14ac:dyDescent="0.15">
      <c r="A132" s="194">
        <v>24501</v>
      </c>
      <c r="B132" s="195" t="s">
        <v>187</v>
      </c>
      <c r="C132" s="203">
        <f>C133</f>
        <v>4500000000</v>
      </c>
      <c r="D132" s="199">
        <v>0</v>
      </c>
      <c r="E132" s="202">
        <v>0</v>
      </c>
      <c r="F132" s="199">
        <v>0</v>
      </c>
      <c r="G132" s="197">
        <f t="shared" si="50"/>
        <v>0</v>
      </c>
      <c r="H132" s="197">
        <f t="shared" si="50"/>
        <v>4500000000</v>
      </c>
      <c r="I132" s="197">
        <f t="shared" si="50"/>
        <v>0</v>
      </c>
      <c r="J132" s="198">
        <f t="shared" si="50"/>
        <v>2677675714</v>
      </c>
      <c r="K132" s="200">
        <f t="shared" si="50"/>
        <v>2677675714</v>
      </c>
      <c r="L132" s="200">
        <f t="shared" si="50"/>
        <v>1693523581</v>
      </c>
      <c r="M132" s="197">
        <f t="shared" si="50"/>
        <v>0</v>
      </c>
      <c r="N132" s="197">
        <f t="shared" si="50"/>
        <v>1645233584</v>
      </c>
      <c r="O132" s="197">
        <f t="shared" si="50"/>
        <v>1645233584</v>
      </c>
      <c r="P132" s="200">
        <f t="shared" si="33"/>
        <v>1822324286</v>
      </c>
      <c r="Q132" s="201">
        <f t="shared" si="27"/>
        <v>48289997</v>
      </c>
      <c r="T132" s="156">
        <v>8001999</v>
      </c>
      <c r="U132" s="193" t="s">
        <v>294</v>
      </c>
      <c r="V132" s="157">
        <v>78205202</v>
      </c>
      <c r="W132" s="157">
        <v>7309839</v>
      </c>
      <c r="X132" s="157">
        <v>7691878</v>
      </c>
      <c r="Y132" s="228">
        <f>SUM(V132:X132)</f>
        <v>93206919</v>
      </c>
    </row>
    <row r="133" spans="1:25" s="193" customFormat="1" ht="8.25" x14ac:dyDescent="0.15">
      <c r="A133" s="194">
        <v>2450103</v>
      </c>
      <c r="B133" s="195" t="s">
        <v>189</v>
      </c>
      <c r="C133" s="203">
        <f>SUM(C134:C139)</f>
        <v>4500000000</v>
      </c>
      <c r="D133" s="199">
        <v>0</v>
      </c>
      <c r="E133" s="202">
        <v>0</v>
      </c>
      <c r="F133" s="199">
        <v>0</v>
      </c>
      <c r="G133" s="197">
        <f t="shared" ref="G133" si="51">(G134+G135+G136+G137+G139)</f>
        <v>0</v>
      </c>
      <c r="H133" s="197">
        <f t="shared" ref="H133:O133" si="52">(H134+H135+H136+H137+H138+H139)</f>
        <v>4500000000</v>
      </c>
      <c r="I133" s="197">
        <f t="shared" si="52"/>
        <v>0</v>
      </c>
      <c r="J133" s="197">
        <f t="shared" si="52"/>
        <v>2677675714</v>
      </c>
      <c r="K133" s="198">
        <f t="shared" si="52"/>
        <v>2677675714</v>
      </c>
      <c r="L133" s="197">
        <f t="shared" si="52"/>
        <v>1693523581</v>
      </c>
      <c r="M133" s="197">
        <f t="shared" si="52"/>
        <v>0</v>
      </c>
      <c r="N133" s="197">
        <f t="shared" si="52"/>
        <v>1645233584</v>
      </c>
      <c r="O133" s="197">
        <f t="shared" si="52"/>
        <v>1645233584</v>
      </c>
      <c r="P133" s="200">
        <f t="shared" si="33"/>
        <v>1822324286</v>
      </c>
      <c r="Q133" s="201">
        <f t="shared" si="27"/>
        <v>48289997</v>
      </c>
    </row>
    <row r="134" spans="1:25" s="156" customFormat="1" ht="8.25" x14ac:dyDescent="0.15">
      <c r="A134" s="204">
        <v>245010330101</v>
      </c>
      <c r="B134" s="205" t="s">
        <v>328</v>
      </c>
      <c r="C134" s="206">
        <v>1699283700</v>
      </c>
      <c r="D134" s="152">
        <v>0</v>
      </c>
      <c r="E134" s="154">
        <v>0</v>
      </c>
      <c r="F134" s="207">
        <v>0</v>
      </c>
      <c r="G134" s="149">
        <v>0</v>
      </c>
      <c r="H134" s="149">
        <f t="shared" si="42"/>
        <v>1699283700</v>
      </c>
      <c r="I134" s="149">
        <v>0</v>
      </c>
      <c r="J134" s="155">
        <v>1309747914</v>
      </c>
      <c r="K134" s="191">
        <f t="shared" ref="K134:K140" si="53">(I134+J134)</f>
        <v>1309747914</v>
      </c>
      <c r="L134" s="191">
        <v>712694634</v>
      </c>
      <c r="M134" s="149">
        <v>0</v>
      </c>
      <c r="N134" s="149">
        <v>694196127</v>
      </c>
      <c r="O134" s="149">
        <f t="shared" ref="O134:O141" si="54">(M134+N134)</f>
        <v>694196127</v>
      </c>
      <c r="P134" s="191">
        <f t="shared" si="33"/>
        <v>389535786</v>
      </c>
      <c r="Q134" s="201">
        <f t="shared" si="27"/>
        <v>18498507</v>
      </c>
    </row>
    <row r="135" spans="1:25" s="156" customFormat="1" ht="8.25" x14ac:dyDescent="0.15">
      <c r="A135" s="204">
        <v>245010330202</v>
      </c>
      <c r="B135" s="205" t="s">
        <v>193</v>
      </c>
      <c r="C135" s="206">
        <v>982153000</v>
      </c>
      <c r="D135" s="152">
        <v>0</v>
      </c>
      <c r="E135" s="154">
        <v>0</v>
      </c>
      <c r="F135" s="207">
        <v>0</v>
      </c>
      <c r="G135" s="149">
        <v>0</v>
      </c>
      <c r="H135" s="149">
        <f t="shared" si="42"/>
        <v>982153000</v>
      </c>
      <c r="I135" s="149">
        <v>0</v>
      </c>
      <c r="J135" s="155">
        <v>617927800</v>
      </c>
      <c r="K135" s="191">
        <f t="shared" si="53"/>
        <v>617927800</v>
      </c>
      <c r="L135" s="191">
        <v>358408551</v>
      </c>
      <c r="M135" s="149">
        <v>0</v>
      </c>
      <c r="N135" s="149">
        <v>358190465</v>
      </c>
      <c r="O135" s="149">
        <f t="shared" si="54"/>
        <v>358190465</v>
      </c>
      <c r="P135" s="191">
        <f t="shared" si="33"/>
        <v>364225200</v>
      </c>
      <c r="Q135" s="201">
        <f t="shared" si="27"/>
        <v>218086</v>
      </c>
      <c r="T135" s="156">
        <v>80029999</v>
      </c>
      <c r="U135" s="156" t="s">
        <v>295</v>
      </c>
      <c r="V135" s="157">
        <v>129184210</v>
      </c>
      <c r="Y135" s="228">
        <f>SUM(V135:X135)</f>
        <v>129184210</v>
      </c>
    </row>
    <row r="136" spans="1:25" s="156" customFormat="1" ht="8.25" x14ac:dyDescent="0.15">
      <c r="A136" s="204">
        <v>245010330303</v>
      </c>
      <c r="B136" s="205" t="s">
        <v>195</v>
      </c>
      <c r="C136" s="206">
        <v>952328300</v>
      </c>
      <c r="D136" s="152">
        <v>0</v>
      </c>
      <c r="E136" s="155">
        <v>0</v>
      </c>
      <c r="F136" s="207">
        <v>0</v>
      </c>
      <c r="G136" s="149">
        <v>0</v>
      </c>
      <c r="H136" s="149">
        <f t="shared" si="42"/>
        <v>952328300</v>
      </c>
      <c r="I136" s="149">
        <v>0</v>
      </c>
      <c r="J136" s="155">
        <v>300000000</v>
      </c>
      <c r="K136" s="191">
        <f t="shared" si="53"/>
        <v>300000000</v>
      </c>
      <c r="L136" s="191">
        <v>220386340</v>
      </c>
      <c r="M136" s="149">
        <v>0</v>
      </c>
      <c r="N136" s="149">
        <v>201237434</v>
      </c>
      <c r="O136" s="149">
        <f t="shared" si="54"/>
        <v>201237434</v>
      </c>
      <c r="P136" s="191">
        <f t="shared" si="33"/>
        <v>652328300</v>
      </c>
      <c r="Q136" s="201">
        <f t="shared" ref="Q136:Q148" si="55">(L136-O136)</f>
        <v>19148906</v>
      </c>
    </row>
    <row r="137" spans="1:25" s="156" customFormat="1" ht="8.25" x14ac:dyDescent="0.15">
      <c r="A137" s="204">
        <v>245010330404</v>
      </c>
      <c r="B137" s="205" t="s">
        <v>197</v>
      </c>
      <c r="C137" s="206">
        <v>746235000</v>
      </c>
      <c r="D137" s="149">
        <v>0</v>
      </c>
      <c r="E137" s="154">
        <v>0</v>
      </c>
      <c r="F137" s="207">
        <v>0</v>
      </c>
      <c r="G137" s="149">
        <v>0</v>
      </c>
      <c r="H137" s="149">
        <f t="shared" si="42"/>
        <v>746235000</v>
      </c>
      <c r="I137" s="149">
        <v>0</v>
      </c>
      <c r="J137" s="155">
        <v>450000000</v>
      </c>
      <c r="K137" s="191">
        <f t="shared" si="53"/>
        <v>450000000</v>
      </c>
      <c r="L137" s="191">
        <v>402034056</v>
      </c>
      <c r="M137" s="149">
        <v>0</v>
      </c>
      <c r="N137" s="149">
        <v>391609558</v>
      </c>
      <c r="O137" s="149">
        <f t="shared" si="54"/>
        <v>391609558</v>
      </c>
      <c r="P137" s="191">
        <f t="shared" si="33"/>
        <v>296235000</v>
      </c>
      <c r="Q137" s="201">
        <f t="shared" si="55"/>
        <v>10424498</v>
      </c>
    </row>
    <row r="138" spans="1:25" s="156" customFormat="1" ht="8.25" x14ac:dyDescent="0.15">
      <c r="A138" s="204">
        <v>245020602</v>
      </c>
      <c r="B138" s="205" t="s">
        <v>329</v>
      </c>
      <c r="C138" s="206">
        <v>120000000</v>
      </c>
      <c r="D138" s="152">
        <v>0</v>
      </c>
      <c r="E138" s="154">
        <v>0</v>
      </c>
      <c r="F138" s="207"/>
      <c r="G138" s="149"/>
      <c r="H138" s="149">
        <f t="shared" si="42"/>
        <v>120000000</v>
      </c>
      <c r="I138" s="149">
        <v>0</v>
      </c>
      <c r="J138" s="155">
        <v>0</v>
      </c>
      <c r="K138" s="191">
        <f t="shared" si="53"/>
        <v>0</v>
      </c>
      <c r="L138" s="191">
        <v>0</v>
      </c>
      <c r="M138" s="149">
        <v>0</v>
      </c>
      <c r="N138" s="149">
        <v>0</v>
      </c>
      <c r="O138" s="149">
        <f t="shared" si="54"/>
        <v>0</v>
      </c>
      <c r="P138" s="191">
        <f t="shared" si="33"/>
        <v>120000000</v>
      </c>
      <c r="Q138" s="201">
        <f t="shared" si="55"/>
        <v>0</v>
      </c>
    </row>
    <row r="139" spans="1:25" s="156" customFormat="1" ht="8.25" x14ac:dyDescent="0.15">
      <c r="A139" s="204">
        <v>245010330101</v>
      </c>
      <c r="B139" s="205" t="s">
        <v>220</v>
      </c>
      <c r="C139" s="206">
        <v>0</v>
      </c>
      <c r="D139" s="149">
        <v>0</v>
      </c>
      <c r="E139" s="155">
        <v>0</v>
      </c>
      <c r="F139" s="207">
        <v>0</v>
      </c>
      <c r="G139" s="149">
        <v>0</v>
      </c>
      <c r="H139" s="149">
        <f t="shared" si="42"/>
        <v>0</v>
      </c>
      <c r="I139" s="149">
        <v>0</v>
      </c>
      <c r="J139" s="155">
        <v>0</v>
      </c>
      <c r="K139" s="191">
        <f t="shared" si="53"/>
        <v>0</v>
      </c>
      <c r="L139" s="191">
        <v>0</v>
      </c>
      <c r="M139" s="149">
        <v>0</v>
      </c>
      <c r="N139" s="149">
        <v>0</v>
      </c>
      <c r="O139" s="149">
        <f t="shared" si="54"/>
        <v>0</v>
      </c>
      <c r="P139" s="191">
        <f t="shared" si="33"/>
        <v>0</v>
      </c>
      <c r="Q139" s="201">
        <f t="shared" si="55"/>
        <v>0</v>
      </c>
    </row>
    <row r="140" spans="1:25" s="193" customFormat="1" ht="8.25" x14ac:dyDescent="0.15">
      <c r="A140" s="194">
        <v>242</v>
      </c>
      <c r="B140" s="195" t="s">
        <v>199</v>
      </c>
      <c r="C140" s="203">
        <f>C141</f>
        <v>700000000</v>
      </c>
      <c r="D140" s="203"/>
      <c r="E140" s="203"/>
      <c r="F140" s="203">
        <f t="shared" ref="F140" si="56">F141</f>
        <v>0</v>
      </c>
      <c r="G140" s="203">
        <v>658667200</v>
      </c>
      <c r="H140" s="149">
        <f t="shared" si="42"/>
        <v>1358667200</v>
      </c>
      <c r="I140" s="197">
        <f>SUM(I141)</f>
        <v>0</v>
      </c>
      <c r="J140" s="197">
        <f>SUM(J141)</f>
        <v>1156387410</v>
      </c>
      <c r="K140" s="191">
        <f t="shared" si="53"/>
        <v>1156387410</v>
      </c>
      <c r="L140" s="197">
        <f>SUM(L141)</f>
        <v>863072827</v>
      </c>
      <c r="M140" s="197">
        <f>(M141)</f>
        <v>0</v>
      </c>
      <c r="N140" s="197">
        <f>SUM(N141)</f>
        <v>733942321</v>
      </c>
      <c r="O140" s="149">
        <f t="shared" si="54"/>
        <v>733942321</v>
      </c>
      <c r="P140" s="200">
        <f t="shared" si="33"/>
        <v>202279790</v>
      </c>
      <c r="Q140" s="201">
        <f t="shared" si="55"/>
        <v>129130506</v>
      </c>
    </row>
    <row r="141" spans="1:25" s="193" customFormat="1" ht="8.25" x14ac:dyDescent="0.15">
      <c r="A141" s="194">
        <v>24202</v>
      </c>
      <c r="B141" s="195" t="s">
        <v>201</v>
      </c>
      <c r="C141" s="203">
        <f>SUM(C142+C146)</f>
        <v>700000000</v>
      </c>
      <c r="D141" s="203"/>
      <c r="E141" s="203"/>
      <c r="F141" s="203">
        <f t="shared" ref="F141" si="57">SUM(F142+F146)</f>
        <v>0</v>
      </c>
      <c r="G141" s="203">
        <v>658667200</v>
      </c>
      <c r="H141" s="203">
        <f>SUM(H142)</f>
        <v>1358667200</v>
      </c>
      <c r="I141" s="197">
        <f>I142</f>
        <v>0</v>
      </c>
      <c r="J141" s="197">
        <f>J142</f>
        <v>1156387410</v>
      </c>
      <c r="K141" s="200">
        <f>(K142)</f>
        <v>1156387410</v>
      </c>
      <c r="L141" s="197">
        <f>L142</f>
        <v>863072827</v>
      </c>
      <c r="M141" s="197">
        <f>(M142)</f>
        <v>0</v>
      </c>
      <c r="N141" s="197">
        <f>N142</f>
        <v>733942321</v>
      </c>
      <c r="O141" s="149">
        <f t="shared" si="54"/>
        <v>733942321</v>
      </c>
      <c r="P141" s="200">
        <f t="shared" si="33"/>
        <v>202279790</v>
      </c>
      <c r="Q141" s="201">
        <f t="shared" si="55"/>
        <v>129130506</v>
      </c>
    </row>
    <row r="142" spans="1:25" s="193" customFormat="1" ht="8.25" x14ac:dyDescent="0.15">
      <c r="A142" s="194">
        <v>2420202</v>
      </c>
      <c r="B142" s="195" t="s">
        <v>203</v>
      </c>
      <c r="C142" s="203">
        <f>SUM(C143+C144+C145)</f>
        <v>700000000</v>
      </c>
      <c r="D142" s="203">
        <v>0</v>
      </c>
      <c r="E142" s="203">
        <v>0</v>
      </c>
      <c r="F142" s="203">
        <f t="shared" ref="F142" si="58">SUM(F143+F145)</f>
        <v>0</v>
      </c>
      <c r="G142" s="203">
        <v>658667200</v>
      </c>
      <c r="H142" s="149">
        <f t="shared" si="42"/>
        <v>1358667200</v>
      </c>
      <c r="I142" s="197">
        <f>(I143+I144+I145+I146)+I148+I149</f>
        <v>0</v>
      </c>
      <c r="J142" s="197">
        <f>(J143+J144+J145+J146+J148+J149)</f>
        <v>1156387410</v>
      </c>
      <c r="K142" s="191">
        <f>(I142+J142)</f>
        <v>1156387410</v>
      </c>
      <c r="L142" s="197">
        <f>(L143+L144+L145+L146+L148)+L149</f>
        <v>863072827</v>
      </c>
      <c r="M142" s="197">
        <f>(M143+M144+M145+M147)+M148+M149</f>
        <v>0</v>
      </c>
      <c r="N142" s="197">
        <f>(N143+N144+N145+N147+N148+N149)</f>
        <v>733942321</v>
      </c>
      <c r="O142" s="149">
        <f>(M142+N142)</f>
        <v>733942321</v>
      </c>
      <c r="P142" s="200">
        <f t="shared" si="33"/>
        <v>202279790</v>
      </c>
      <c r="Q142" s="201">
        <f t="shared" si="55"/>
        <v>129130506</v>
      </c>
    </row>
    <row r="143" spans="1:25" s="247" customFormat="1" ht="8.25" x14ac:dyDescent="0.15">
      <c r="A143" s="204">
        <v>242020200501</v>
      </c>
      <c r="B143" s="246" t="s">
        <v>330</v>
      </c>
      <c r="C143" s="206">
        <v>400000000</v>
      </c>
      <c r="D143" s="207">
        <v>0</v>
      </c>
      <c r="E143" s="155">
        <v>0</v>
      </c>
      <c r="F143" s="207">
        <v>0</v>
      </c>
      <c r="G143" s="149">
        <v>0</v>
      </c>
      <c r="H143" s="149">
        <f t="shared" si="42"/>
        <v>400000000</v>
      </c>
      <c r="I143" s="149">
        <v>0</v>
      </c>
      <c r="J143" s="149">
        <v>259140210</v>
      </c>
      <c r="K143" s="191">
        <f>(I143+J143)</f>
        <v>259140210</v>
      </c>
      <c r="L143" s="149">
        <v>115081519</v>
      </c>
      <c r="M143" s="149">
        <v>0</v>
      </c>
      <c r="N143" s="149">
        <v>40086724</v>
      </c>
      <c r="O143" s="149">
        <f>(M143+N143)</f>
        <v>40086724</v>
      </c>
      <c r="P143" s="191">
        <f t="shared" si="33"/>
        <v>140859790</v>
      </c>
      <c r="Q143" s="201">
        <f t="shared" si="55"/>
        <v>74994795</v>
      </c>
      <c r="S143" s="247" t="s">
        <v>288</v>
      </c>
    </row>
    <row r="144" spans="1:25" s="247" customFormat="1" ht="8.25" x14ac:dyDescent="0.15">
      <c r="A144" s="204">
        <v>232020200903</v>
      </c>
      <c r="B144" s="246" t="s">
        <v>310</v>
      </c>
      <c r="C144" s="206">
        <v>300000000</v>
      </c>
      <c r="D144" s="152">
        <v>0</v>
      </c>
      <c r="E144" s="154">
        <v>0</v>
      </c>
      <c r="F144" s="207"/>
      <c r="G144" s="149">
        <v>0</v>
      </c>
      <c r="H144" s="149">
        <f t="shared" si="42"/>
        <v>300000000</v>
      </c>
      <c r="I144" s="149">
        <v>0</v>
      </c>
      <c r="J144" s="149">
        <v>239600000</v>
      </c>
      <c r="K144" s="191">
        <f>(I144+J144)</f>
        <v>239600000</v>
      </c>
      <c r="L144" s="149">
        <v>93444560</v>
      </c>
      <c r="M144" s="149">
        <v>0</v>
      </c>
      <c r="N144" s="248">
        <v>77372265</v>
      </c>
      <c r="O144" s="149">
        <f>(M144+N144)</f>
        <v>77372265</v>
      </c>
      <c r="P144" s="191">
        <f t="shared" si="33"/>
        <v>60400000</v>
      </c>
      <c r="Q144" s="201">
        <f t="shared" si="55"/>
        <v>16072295</v>
      </c>
    </row>
    <row r="145" spans="1:17" s="156" customFormat="1" ht="8.25" x14ac:dyDescent="0.15">
      <c r="A145" s="204">
        <v>232020200902</v>
      </c>
      <c r="B145" s="246" t="s">
        <v>220</v>
      </c>
      <c r="C145" s="206">
        <v>0</v>
      </c>
      <c r="D145" s="149">
        <v>0</v>
      </c>
      <c r="E145" s="210">
        <v>0</v>
      </c>
      <c r="F145" s="207">
        <v>0</v>
      </c>
      <c r="G145" s="149">
        <v>0</v>
      </c>
      <c r="H145" s="149">
        <f t="shared" si="42"/>
        <v>0</v>
      </c>
      <c r="I145" s="149">
        <v>0</v>
      </c>
      <c r="J145" s="149">
        <v>0</v>
      </c>
      <c r="K145" s="191">
        <f>(I145+J145)</f>
        <v>0</v>
      </c>
      <c r="L145" s="149">
        <v>0</v>
      </c>
      <c r="M145" s="149">
        <v>0</v>
      </c>
      <c r="N145" s="248">
        <v>0</v>
      </c>
      <c r="O145" s="149">
        <f t="shared" ref="O145:O147" si="59">(M145+N145)</f>
        <v>0</v>
      </c>
      <c r="P145" s="191">
        <f t="shared" si="33"/>
        <v>0</v>
      </c>
      <c r="Q145" s="201">
        <f t="shared" si="55"/>
        <v>0</v>
      </c>
    </row>
    <row r="146" spans="1:17" s="193" customFormat="1" ht="8.25" x14ac:dyDescent="0.15">
      <c r="A146" s="194">
        <v>8002001</v>
      </c>
      <c r="B146" s="249" t="s">
        <v>242</v>
      </c>
      <c r="C146" s="203">
        <v>0</v>
      </c>
      <c r="D146" s="250">
        <v>0</v>
      </c>
      <c r="E146" s="250">
        <v>0</v>
      </c>
      <c r="F146" s="250">
        <v>0</v>
      </c>
      <c r="G146" s="200">
        <f>SUM(G147)</f>
        <v>0</v>
      </c>
      <c r="H146" s="149">
        <f t="shared" si="42"/>
        <v>0</v>
      </c>
      <c r="I146" s="200">
        <f>(I147)</f>
        <v>0</v>
      </c>
      <c r="J146" s="200">
        <f>SUM(J147)</f>
        <v>0</v>
      </c>
      <c r="K146" s="200">
        <f>SUM(K147)</f>
        <v>0</v>
      </c>
      <c r="L146" s="200">
        <f>SUM(L147)</f>
        <v>0</v>
      </c>
      <c r="M146" s="245">
        <f>(M147)</f>
        <v>0</v>
      </c>
      <c r="N146" s="245">
        <v>0</v>
      </c>
      <c r="O146" s="149">
        <f t="shared" si="59"/>
        <v>0</v>
      </c>
      <c r="P146" s="191">
        <f t="shared" si="33"/>
        <v>0</v>
      </c>
      <c r="Q146" s="201">
        <f t="shared" si="55"/>
        <v>0</v>
      </c>
    </row>
    <row r="147" spans="1:17" s="193" customFormat="1" ht="8.25" x14ac:dyDescent="0.15">
      <c r="A147" s="194">
        <v>8002001</v>
      </c>
      <c r="B147" s="249" t="s">
        <v>242</v>
      </c>
      <c r="C147" s="203">
        <v>0</v>
      </c>
      <c r="D147" s="250">
        <v>0</v>
      </c>
      <c r="E147" s="250">
        <v>0</v>
      </c>
      <c r="F147" s="250">
        <v>0</v>
      </c>
      <c r="G147" s="200">
        <v>0</v>
      </c>
      <c r="H147" s="149">
        <f t="shared" si="42"/>
        <v>0</v>
      </c>
      <c r="I147" s="200">
        <v>0</v>
      </c>
      <c r="J147" s="245">
        <v>0</v>
      </c>
      <c r="K147" s="245">
        <f>(I147+J147)</f>
        <v>0</v>
      </c>
      <c r="L147" s="245">
        <v>0</v>
      </c>
      <c r="M147" s="245">
        <v>0</v>
      </c>
      <c r="N147" s="245">
        <v>0</v>
      </c>
      <c r="O147" s="149">
        <f t="shared" si="59"/>
        <v>0</v>
      </c>
      <c r="P147" s="191">
        <f t="shared" si="33"/>
        <v>0</v>
      </c>
      <c r="Q147" s="201">
        <f t="shared" si="55"/>
        <v>0</v>
      </c>
    </row>
    <row r="148" spans="1:17" s="193" customFormat="1" ht="8.25" x14ac:dyDescent="0.15">
      <c r="A148" s="251" t="s">
        <v>304</v>
      </c>
      <c r="B148" s="252" t="s">
        <v>243</v>
      </c>
      <c r="C148" s="253">
        <v>0</v>
      </c>
      <c r="D148" s="254">
        <v>0</v>
      </c>
      <c r="E148" s="254">
        <v>0</v>
      </c>
      <c r="F148" s="254">
        <v>0</v>
      </c>
      <c r="G148" s="255">
        <v>658667200</v>
      </c>
      <c r="H148" s="149">
        <f t="shared" si="42"/>
        <v>658667200</v>
      </c>
      <c r="I148" s="255">
        <v>0</v>
      </c>
      <c r="J148" s="256">
        <v>657647200</v>
      </c>
      <c r="K148" s="191">
        <f>(I148+J148)</f>
        <v>657647200</v>
      </c>
      <c r="L148" s="257">
        <v>654546748</v>
      </c>
      <c r="M148" s="258">
        <v>0</v>
      </c>
      <c r="N148" s="200">
        <v>616483332</v>
      </c>
      <c r="O148" s="149">
        <f>(M148+N148)</f>
        <v>616483332</v>
      </c>
      <c r="P148" s="191">
        <f t="shared" si="33"/>
        <v>1020000</v>
      </c>
      <c r="Q148" s="201">
        <f t="shared" si="55"/>
        <v>38063416</v>
      </c>
    </row>
    <row r="149" spans="1:17" s="156" customFormat="1" ht="9" thickBot="1" x14ac:dyDescent="0.2">
      <c r="A149" s="251">
        <v>8002999</v>
      </c>
      <c r="B149" s="252" t="s">
        <v>220</v>
      </c>
      <c r="C149" s="253">
        <v>0</v>
      </c>
      <c r="D149" s="254">
        <v>0</v>
      </c>
      <c r="E149" s="254">
        <v>0</v>
      </c>
      <c r="F149" s="254">
        <v>0</v>
      </c>
      <c r="G149" s="255">
        <v>0</v>
      </c>
      <c r="H149" s="259">
        <f t="shared" si="42"/>
        <v>0</v>
      </c>
      <c r="I149" s="255">
        <v>0</v>
      </c>
      <c r="J149" s="260">
        <v>0</v>
      </c>
      <c r="K149" s="261">
        <f>(I149+J149)</f>
        <v>0</v>
      </c>
      <c r="L149" s="260">
        <v>0</v>
      </c>
      <c r="M149" s="260">
        <v>0</v>
      </c>
      <c r="N149" s="262">
        <v>0</v>
      </c>
      <c r="O149" s="259">
        <f>(M149+N149)</f>
        <v>0</v>
      </c>
      <c r="P149" s="262">
        <f t="shared" si="33"/>
        <v>0</v>
      </c>
      <c r="Q149" s="263">
        <f t="shared" ref="Q149" si="60">(K149-O149)</f>
        <v>0</v>
      </c>
    </row>
    <row r="150" spans="1:17" s="156" customFormat="1" ht="8.25" x14ac:dyDescent="0.15">
      <c r="A150" s="246"/>
      <c r="B150" s="246"/>
      <c r="C150" s="264"/>
      <c r="D150" s="155">
        <f>SUM(D15:D149)</f>
        <v>202936508</v>
      </c>
      <c r="E150" s="155">
        <f>SUM(E15:E149)</f>
        <v>202936508</v>
      </c>
      <c r="F150" s="246"/>
      <c r="G150" s="265">
        <v>0</v>
      </c>
      <c r="H150" s="246"/>
      <c r="I150" s="246"/>
      <c r="J150" s="246"/>
      <c r="K150" s="246"/>
      <c r="L150" s="246"/>
      <c r="M150" s="246"/>
      <c r="N150" s="246"/>
      <c r="O150" s="246"/>
      <c r="P150" s="265"/>
      <c r="Q150" s="205"/>
    </row>
    <row r="151" spans="1:17" s="156" customFormat="1" ht="8.25" x14ac:dyDescent="0.15">
      <c r="A151" s="266" t="s">
        <v>309</v>
      </c>
      <c r="B151" s="252"/>
      <c r="C151" s="267"/>
      <c r="D151" s="252"/>
      <c r="E151" s="252"/>
      <c r="F151" s="252"/>
      <c r="G151" s="252"/>
      <c r="H151" s="252"/>
      <c r="I151" s="252" t="s">
        <v>332</v>
      </c>
      <c r="J151" s="252"/>
      <c r="K151" s="252"/>
      <c r="L151" s="252"/>
      <c r="M151" s="252"/>
      <c r="N151" s="252"/>
      <c r="O151" s="252"/>
      <c r="P151" s="268"/>
      <c r="Q151" s="269"/>
    </row>
    <row r="152" spans="1:17" s="156" customFormat="1" ht="8.25" x14ac:dyDescent="0.15">
      <c r="C152" s="158"/>
    </row>
    <row r="153" spans="1:17" s="156" customFormat="1" ht="8.25" x14ac:dyDescent="0.15">
      <c r="C153" s="158"/>
      <c r="G153" s="211"/>
      <c r="N153" s="270"/>
    </row>
    <row r="154" spans="1:17" s="156" customFormat="1" ht="8.25" x14ac:dyDescent="0.15"/>
    <row r="155" spans="1:17" s="156" customFormat="1" ht="8.25" x14ac:dyDescent="0.15"/>
    <row r="156" spans="1:17" s="156" customFormat="1" ht="8.25" x14ac:dyDescent="0.15"/>
    <row r="157" spans="1:17" s="156" customFormat="1" ht="8.25" x14ac:dyDescent="0.15"/>
    <row r="158" spans="1:17" s="156" customFormat="1" ht="8.25" x14ac:dyDescent="0.15"/>
    <row r="159" spans="1:17" s="156" customFormat="1" ht="8.25" x14ac:dyDescent="0.15"/>
    <row r="160" spans="1:17" s="156" customFormat="1" ht="8.25" x14ac:dyDescent="0.15"/>
    <row r="161" spans="3:3" s="156" customFormat="1" ht="8.25" x14ac:dyDescent="0.15"/>
    <row r="162" spans="3:3" s="156" customFormat="1" ht="8.25" x14ac:dyDescent="0.15"/>
    <row r="163" spans="3:3" s="156" customFormat="1" ht="8.25" x14ac:dyDescent="0.15"/>
    <row r="164" spans="3:3" x14ac:dyDescent="0.2">
      <c r="C164" s="2"/>
    </row>
    <row r="165" spans="3:3" x14ac:dyDescent="0.2">
      <c r="C165" s="2"/>
    </row>
    <row r="166" spans="3:3" x14ac:dyDescent="0.2">
      <c r="C166" s="2"/>
    </row>
    <row r="167" spans="3:3" x14ac:dyDescent="0.2">
      <c r="C167" s="2"/>
    </row>
    <row r="168" spans="3:3" x14ac:dyDescent="0.2">
      <c r="C168" s="2"/>
    </row>
    <row r="169" spans="3:3" x14ac:dyDescent="0.2">
      <c r="C169" s="2"/>
    </row>
    <row r="170" spans="3:3" x14ac:dyDescent="0.2">
      <c r="C170" s="2"/>
    </row>
    <row r="171" spans="3:3" x14ac:dyDescent="0.2">
      <c r="C171" s="2"/>
    </row>
    <row r="172" spans="3:3" x14ac:dyDescent="0.2">
      <c r="C172" s="2"/>
    </row>
    <row r="173" spans="3:3" x14ac:dyDescent="0.2">
      <c r="C173" s="2"/>
    </row>
    <row r="174" spans="3:3" x14ac:dyDescent="0.2">
      <c r="C174" s="2"/>
    </row>
    <row r="175" spans="3:3" x14ac:dyDescent="0.2">
      <c r="C175" s="2"/>
    </row>
    <row r="176" spans="3:3" x14ac:dyDescent="0.2">
      <c r="C176" s="2"/>
    </row>
    <row r="177" spans="3:3" x14ac:dyDescent="0.2">
      <c r="C177" s="2"/>
    </row>
    <row r="178" spans="3:3" x14ac:dyDescent="0.2">
      <c r="C178" s="2"/>
    </row>
    <row r="179" spans="3:3" x14ac:dyDescent="0.2">
      <c r="C179" s="2"/>
    </row>
    <row r="180" spans="3:3" x14ac:dyDescent="0.2">
      <c r="C180" s="2"/>
    </row>
    <row r="181" spans="3:3" x14ac:dyDescent="0.2">
      <c r="C181" s="2"/>
    </row>
    <row r="182" spans="3:3" x14ac:dyDescent="0.2">
      <c r="C182" s="2"/>
    </row>
    <row r="183" spans="3:3" x14ac:dyDescent="0.2">
      <c r="C183" s="2"/>
    </row>
    <row r="184" spans="3:3" x14ac:dyDescent="0.2">
      <c r="C184" s="2"/>
    </row>
    <row r="185" spans="3:3" x14ac:dyDescent="0.2">
      <c r="C185" s="2"/>
    </row>
    <row r="186" spans="3:3" x14ac:dyDescent="0.2">
      <c r="C186" s="2"/>
    </row>
    <row r="187" spans="3:3" x14ac:dyDescent="0.2">
      <c r="C187" s="2"/>
    </row>
    <row r="188" spans="3:3" x14ac:dyDescent="0.2">
      <c r="C188" s="2"/>
    </row>
    <row r="189" spans="3:3" x14ac:dyDescent="0.2">
      <c r="C189" s="2"/>
    </row>
    <row r="190" spans="3:3" x14ac:dyDescent="0.2">
      <c r="C190" s="2"/>
    </row>
    <row r="191" spans="3:3" x14ac:dyDescent="0.2">
      <c r="C191" s="2"/>
    </row>
    <row r="196" spans="11:14" x14ac:dyDescent="0.2">
      <c r="K196" s="10"/>
      <c r="L196" s="10"/>
      <c r="M196" s="10"/>
      <c r="N196" s="10"/>
    </row>
    <row r="197" spans="11:14" x14ac:dyDescent="0.2">
      <c r="K197" s="10"/>
      <c r="L197" s="10"/>
      <c r="M197" s="10"/>
      <c r="N197" s="10"/>
    </row>
    <row r="198" spans="11:14" x14ac:dyDescent="0.2">
      <c r="K198" s="10"/>
      <c r="L198" s="10"/>
      <c r="M198" s="10"/>
      <c r="N198" s="10"/>
    </row>
    <row r="199" spans="11:14" x14ac:dyDescent="0.2">
      <c r="K199" s="10"/>
      <c r="L199" s="10"/>
      <c r="M199" s="10"/>
      <c r="N199" s="10"/>
    </row>
    <row r="200" spans="11:14" x14ac:dyDescent="0.2">
      <c r="K200" s="10"/>
      <c r="L200" s="10"/>
      <c r="M200" s="10"/>
      <c r="N200" s="10"/>
    </row>
    <row r="201" spans="11:14" x14ac:dyDescent="0.2">
      <c r="K201" s="10"/>
      <c r="L201" s="10"/>
      <c r="M201" s="10"/>
      <c r="N201" s="10"/>
    </row>
    <row r="202" spans="11:14" x14ac:dyDescent="0.2">
      <c r="K202" s="10"/>
      <c r="L202" s="10"/>
      <c r="M202" s="10"/>
      <c r="N202" s="10"/>
    </row>
    <row r="203" spans="11:14" x14ac:dyDescent="0.2">
      <c r="K203" s="10"/>
      <c r="L203" s="10"/>
      <c r="M203" s="10"/>
      <c r="N203" s="10"/>
    </row>
    <row r="204" spans="11:14" x14ac:dyDescent="0.2">
      <c r="K204" s="10"/>
      <c r="L204" s="10"/>
      <c r="M204" s="10"/>
      <c r="N204" s="10"/>
    </row>
    <row r="205" spans="11:14" x14ac:dyDescent="0.2">
      <c r="K205" s="10"/>
      <c r="L205" s="10"/>
      <c r="M205" s="10"/>
      <c r="N205" s="10"/>
    </row>
    <row r="206" spans="11:14" x14ac:dyDescent="0.2">
      <c r="K206" s="10"/>
      <c r="L206" s="10"/>
      <c r="M206" s="10"/>
      <c r="N206" s="10"/>
    </row>
    <row r="207" spans="11:14" x14ac:dyDescent="0.2">
      <c r="K207" s="10"/>
      <c r="L207" s="10"/>
      <c r="M207" s="10"/>
      <c r="N207" s="10"/>
    </row>
    <row r="208" spans="11:14" x14ac:dyDescent="0.2">
      <c r="K208" s="10"/>
      <c r="L208" s="10"/>
      <c r="M208" s="10"/>
      <c r="N208" s="10"/>
    </row>
    <row r="212" spans="11:14" x14ac:dyDescent="0.2">
      <c r="K212" s="10"/>
      <c r="L212" s="10"/>
      <c r="N212" s="10"/>
    </row>
    <row r="213" spans="11:14" x14ac:dyDescent="0.2">
      <c r="K213" s="10"/>
      <c r="L213" s="10"/>
      <c r="N213" s="10"/>
    </row>
    <row r="214" spans="11:14" x14ac:dyDescent="0.2">
      <c r="K214" s="10"/>
      <c r="L214" s="10"/>
      <c r="N214" s="10"/>
    </row>
    <row r="215" spans="11:14" x14ac:dyDescent="0.2">
      <c r="K215" s="10"/>
      <c r="L215" s="10"/>
      <c r="N215" s="10"/>
    </row>
    <row r="216" spans="11:14" x14ac:dyDescent="0.2">
      <c r="K216" s="10"/>
      <c r="L216" s="10"/>
      <c r="N216" s="10"/>
    </row>
    <row r="217" spans="11:14" x14ac:dyDescent="0.2">
      <c r="K217" s="10"/>
      <c r="L217" s="10"/>
      <c r="N217" s="10"/>
    </row>
    <row r="218" spans="11:14" x14ac:dyDescent="0.2">
      <c r="K218" s="10"/>
      <c r="L218" s="10"/>
      <c r="N218" s="10"/>
    </row>
    <row r="219" spans="11:14" x14ac:dyDescent="0.2">
      <c r="K219" s="10"/>
      <c r="L219" s="10"/>
      <c r="N219" s="10"/>
    </row>
    <row r="220" spans="11:14" x14ac:dyDescent="0.2">
      <c r="K220" s="10"/>
      <c r="L220" s="10"/>
      <c r="N220" s="10"/>
    </row>
    <row r="221" spans="11:14" x14ac:dyDescent="0.2">
      <c r="K221" s="10"/>
      <c r="L221" s="10"/>
      <c r="N221" s="10"/>
    </row>
    <row r="222" spans="11:14" x14ac:dyDescent="0.2">
      <c r="K222" s="10"/>
      <c r="L222" s="10"/>
      <c r="N222" s="10"/>
    </row>
    <row r="223" spans="11:14" x14ac:dyDescent="0.2">
      <c r="K223" s="10"/>
      <c r="L223" s="10"/>
      <c r="N223" s="10"/>
    </row>
    <row r="244" spans="11:17" x14ac:dyDescent="0.2">
      <c r="K244" s="10"/>
      <c r="L244" s="10"/>
      <c r="M244" s="10"/>
      <c r="N244" s="10"/>
      <c r="O244" s="10"/>
      <c r="P244" s="10"/>
      <c r="Q244" s="10"/>
    </row>
  </sheetData>
  <printOptions horizontalCentered="1"/>
  <pageMargins left="0.31496062992125984" right="0.51181102362204722" top="0.74803149606299213" bottom="0.74803149606299213" header="0.31496062992125984" footer="0.31496062992125984"/>
  <pageSetup paperSize="5" scale="65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Nov</vt:lpstr>
      <vt:lpstr>MAR 22</vt:lpstr>
      <vt:lpstr>'MAR 22'!Área_de_impresión</vt:lpstr>
      <vt:lpstr>'MAR 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Normando Rafael</dc:creator>
  <cp:lastModifiedBy>CAMU</cp:lastModifiedBy>
  <cp:lastPrinted>2022-05-03T16:16:17Z</cp:lastPrinted>
  <dcterms:created xsi:type="dcterms:W3CDTF">2010-03-19T14:58:02Z</dcterms:created>
  <dcterms:modified xsi:type="dcterms:W3CDTF">2022-06-08T15:01:54Z</dcterms:modified>
</cp:coreProperties>
</file>